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Galant B40\Desktop\РАБОТА\МП БГС\МП БГС 17-25\46. МП БГС 17-25 в ред. сентябрь\Постановление\"/>
    </mc:Choice>
  </mc:AlternateContent>
  <xr:revisionPtr revIDLastSave="0" documentId="13_ncr:1_{A48376EA-7E4D-4729-A710-C018A621C1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definedNames>
    <definedName name="_xlnm.Print_Titles" localSheetId="0">Лист3!$17:$17</definedName>
    <definedName name="_xlnm.Print_Area" localSheetId="0">Лист3!$A$4:$P$121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8" i="3" l="1"/>
  <c r="N78" i="3"/>
  <c r="N90" i="3"/>
  <c r="N108" i="3"/>
  <c r="N71" i="3"/>
  <c r="N65" i="3" s="1"/>
  <c r="N74" i="3"/>
  <c r="M114" i="3"/>
  <c r="N104" i="3"/>
  <c r="F114" i="3"/>
  <c r="N111" i="3"/>
  <c r="N44" i="3"/>
  <c r="N103" i="3"/>
  <c r="N99" i="3"/>
  <c r="N85" i="3"/>
  <c r="N70" i="3"/>
  <c r="N45" i="3" l="1"/>
  <c r="N83" i="3"/>
  <c r="N46" i="3" l="1"/>
  <c r="N77" i="3"/>
  <c r="E108" i="3" l="1"/>
  <c r="E104" i="3"/>
  <c r="E103" i="3"/>
  <c r="E102" i="3"/>
  <c r="E101" i="3"/>
  <c r="E105" i="3"/>
  <c r="N101" i="3"/>
  <c r="N102" i="3"/>
  <c r="N93" i="3"/>
  <c r="N86" i="3"/>
  <c r="M108" i="3" l="1"/>
  <c r="M99" i="3" l="1"/>
  <c r="M90" i="3"/>
  <c r="M71" i="3"/>
  <c r="M49" i="3" l="1"/>
  <c r="M44" i="3"/>
  <c r="N49" i="3"/>
  <c r="E61" i="3"/>
  <c r="M29" i="3"/>
  <c r="M28" i="3"/>
  <c r="N29" i="3" l="1"/>
  <c r="N48" i="3"/>
  <c r="E112" i="3" l="1"/>
  <c r="E111" i="3"/>
  <c r="N110" i="3"/>
  <c r="N109" i="3" s="1"/>
  <c r="E110" i="3" l="1"/>
  <c r="E109" i="3" s="1"/>
  <c r="M70" i="3"/>
  <c r="M43" i="3"/>
  <c r="M40" i="3" s="1"/>
  <c r="M79" i="3"/>
  <c r="L93" i="3"/>
  <c r="L90" i="3"/>
  <c r="L86" i="3"/>
  <c r="L83" i="3"/>
  <c r="L74" i="3"/>
  <c r="L70" i="3"/>
  <c r="G39" i="3" l="1"/>
  <c r="H39" i="3"/>
  <c r="I39" i="3"/>
  <c r="K39" i="3"/>
  <c r="N39" i="3"/>
  <c r="F39" i="3"/>
  <c r="N40" i="3"/>
  <c r="F40" i="3"/>
  <c r="K32" i="3"/>
  <c r="E32" i="3" s="1"/>
  <c r="L31" i="3"/>
  <c r="L30" i="3" s="1"/>
  <c r="K31" i="3"/>
  <c r="E31" i="3" s="1"/>
  <c r="N30" i="3"/>
  <c r="M30" i="3"/>
  <c r="J30" i="3"/>
  <c r="I30" i="3"/>
  <c r="H30" i="3"/>
  <c r="G30" i="3"/>
  <c r="F30" i="3"/>
  <c r="F27" i="3"/>
  <c r="G27" i="3"/>
  <c r="H27" i="3"/>
  <c r="I27" i="3"/>
  <c r="J27" i="3"/>
  <c r="M27" i="3"/>
  <c r="N27" i="3"/>
  <c r="K28" i="3"/>
  <c r="L28" i="3"/>
  <c r="L27" i="3" s="1"/>
  <c r="K29" i="3"/>
  <c r="E29" i="3" s="1"/>
  <c r="L75" i="3"/>
  <c r="L44" i="3"/>
  <c r="L79" i="3"/>
  <c r="L45" i="3"/>
  <c r="L71" i="3"/>
  <c r="L108" i="3"/>
  <c r="L99" i="3"/>
  <c r="L85" i="3"/>
  <c r="L43" i="3"/>
  <c r="L103" i="3"/>
  <c r="M92" i="3"/>
  <c r="M46" i="3"/>
  <c r="M39" i="3" s="1"/>
  <c r="L40" i="3" l="1"/>
  <c r="K30" i="3"/>
  <c r="E30" i="3"/>
  <c r="E28" i="3"/>
  <c r="E27" i="3" s="1"/>
  <c r="K27" i="3"/>
  <c r="M103" i="3" l="1"/>
  <c r="M102" i="3"/>
  <c r="L78" i="3" l="1"/>
  <c r="E51" i="3" l="1"/>
  <c r="E52" i="3"/>
  <c r="E53" i="3"/>
  <c r="E54" i="3"/>
  <c r="E55" i="3"/>
  <c r="E56" i="3"/>
  <c r="E57" i="3"/>
  <c r="E59" i="3"/>
  <c r="E68" i="3"/>
  <c r="E69" i="3"/>
  <c r="E74" i="3"/>
  <c r="E80" i="3"/>
  <c r="E84" i="3"/>
  <c r="E87" i="3"/>
  <c r="E91" i="3"/>
  <c r="E93" i="3"/>
  <c r="M107" i="3" l="1"/>
  <c r="M106" i="3" s="1"/>
  <c r="M101" i="3"/>
  <c r="M100" i="3" s="1"/>
  <c r="M95" i="3"/>
  <c r="M94" i="3" s="1"/>
  <c r="M89" i="3"/>
  <c r="M88" i="3" s="1"/>
  <c r="M82" i="3"/>
  <c r="M81" i="3" s="1"/>
  <c r="M77" i="3"/>
  <c r="M76" i="3" s="1"/>
  <c r="M65" i="3"/>
  <c r="M64" i="3"/>
  <c r="M115" i="3" s="1"/>
  <c r="M120" i="3" s="1"/>
  <c r="M63" i="3"/>
  <c r="M48" i="3"/>
  <c r="M23" i="3"/>
  <c r="M19" i="3" s="1"/>
  <c r="M22" i="3"/>
  <c r="M36" i="3" s="1"/>
  <c r="M21" i="3"/>
  <c r="M35" i="3" s="1"/>
  <c r="M20" i="3"/>
  <c r="M34" i="3" s="1"/>
  <c r="M47" i="3" l="1"/>
  <c r="M116" i="3"/>
  <c r="M121" i="3" s="1"/>
  <c r="M33" i="3"/>
  <c r="M119" i="3"/>
  <c r="M62" i="3"/>
  <c r="M38" i="3"/>
  <c r="K44" i="3"/>
  <c r="K58" i="3"/>
  <c r="K90" i="3"/>
  <c r="K71" i="3"/>
  <c r="K70" i="3"/>
  <c r="K43" i="3"/>
  <c r="K75" i="3"/>
  <c r="K45" i="3"/>
  <c r="G107" i="3"/>
  <c r="G106" i="3" s="1"/>
  <c r="H107" i="3"/>
  <c r="H106" i="3" s="1"/>
  <c r="I107" i="3"/>
  <c r="I106" i="3" s="1"/>
  <c r="J107" i="3"/>
  <c r="J106" i="3" s="1"/>
  <c r="K107" i="3"/>
  <c r="K106" i="3" s="1"/>
  <c r="L107" i="3"/>
  <c r="L106" i="3" s="1"/>
  <c r="N107" i="3"/>
  <c r="F107" i="3"/>
  <c r="F106" i="3" s="1"/>
  <c r="N106" i="3" l="1"/>
  <c r="M113" i="3"/>
  <c r="K40" i="3"/>
  <c r="M118" i="3"/>
  <c r="M117" i="3" s="1"/>
  <c r="E106" i="3"/>
  <c r="E107" i="3"/>
  <c r="L92" i="3"/>
  <c r="L46" i="3"/>
  <c r="L39" i="3" s="1"/>
  <c r="L102" i="3"/>
  <c r="K102" i="3"/>
  <c r="K83" i="3"/>
  <c r="K79" i="3"/>
  <c r="K25" i="3"/>
  <c r="K24" i="3"/>
  <c r="K26" i="3"/>
  <c r="K85" i="3"/>
  <c r="K72" i="3"/>
  <c r="K23" i="3" l="1"/>
  <c r="K19" i="3" s="1"/>
  <c r="H64" i="3"/>
  <c r="H115" i="3" s="1"/>
  <c r="H120" i="3" s="1"/>
  <c r="I64" i="3"/>
  <c r="I115" i="3" s="1"/>
  <c r="I120" i="3" s="1"/>
  <c r="J64" i="3"/>
  <c r="J115" i="3" s="1"/>
  <c r="J120" i="3" s="1"/>
  <c r="K64" i="3"/>
  <c r="K115" i="3" s="1"/>
  <c r="K120" i="3" s="1"/>
  <c r="L64" i="3"/>
  <c r="L115" i="3" s="1"/>
  <c r="L120" i="3" s="1"/>
  <c r="N64" i="3"/>
  <c r="N115" i="3" s="1"/>
  <c r="N120" i="3" s="1"/>
  <c r="F64" i="3"/>
  <c r="F115" i="3" s="1"/>
  <c r="F120" i="3" s="1"/>
  <c r="G63" i="3"/>
  <c r="K63" i="3"/>
  <c r="L63" i="3"/>
  <c r="N63" i="3"/>
  <c r="F63" i="3"/>
  <c r="F65" i="3"/>
  <c r="E26" i="3"/>
  <c r="E22" i="3" s="1"/>
  <c r="E25" i="3"/>
  <c r="E21" i="3" s="1"/>
  <c r="E24" i="3"/>
  <c r="E20" i="3" s="1"/>
  <c r="N23" i="3"/>
  <c r="N19" i="3" s="1"/>
  <c r="L23" i="3"/>
  <c r="L19" i="3" s="1"/>
  <c r="J23" i="3"/>
  <c r="J19" i="3" s="1"/>
  <c r="I23" i="3"/>
  <c r="I19" i="3" s="1"/>
  <c r="H23" i="3"/>
  <c r="H19" i="3" s="1"/>
  <c r="G23" i="3"/>
  <c r="G19" i="3" s="1"/>
  <c r="F23" i="3"/>
  <c r="F19" i="3" s="1"/>
  <c r="N22" i="3"/>
  <c r="N36" i="3" s="1"/>
  <c r="L22" i="3"/>
  <c r="L36" i="3" s="1"/>
  <c r="K22" i="3"/>
  <c r="K36" i="3" s="1"/>
  <c r="J22" i="3"/>
  <c r="J36" i="3" s="1"/>
  <c r="I22" i="3"/>
  <c r="I36" i="3" s="1"/>
  <c r="H22" i="3"/>
  <c r="H36" i="3" s="1"/>
  <c r="G22" i="3"/>
  <c r="G36" i="3" s="1"/>
  <c r="F22" i="3"/>
  <c r="F36" i="3" s="1"/>
  <c r="N21" i="3"/>
  <c r="N35" i="3" s="1"/>
  <c r="L21" i="3"/>
  <c r="L35" i="3" s="1"/>
  <c r="K21" i="3"/>
  <c r="K35" i="3" s="1"/>
  <c r="J21" i="3"/>
  <c r="J35" i="3" s="1"/>
  <c r="I21" i="3"/>
  <c r="I35" i="3" s="1"/>
  <c r="H21" i="3"/>
  <c r="H35" i="3" s="1"/>
  <c r="G21" i="3"/>
  <c r="G35" i="3" s="1"/>
  <c r="F21" i="3"/>
  <c r="F35" i="3" s="1"/>
  <c r="N20" i="3"/>
  <c r="N34" i="3" s="1"/>
  <c r="N119" i="3" s="1"/>
  <c r="L20" i="3"/>
  <c r="L34" i="3" s="1"/>
  <c r="L119" i="3" s="1"/>
  <c r="K20" i="3"/>
  <c r="K34" i="3" s="1"/>
  <c r="K119" i="3" s="1"/>
  <c r="J20" i="3"/>
  <c r="J34" i="3" s="1"/>
  <c r="J119" i="3" s="1"/>
  <c r="I20" i="3"/>
  <c r="I34" i="3" s="1"/>
  <c r="I119" i="3" s="1"/>
  <c r="H20" i="3"/>
  <c r="H34" i="3" s="1"/>
  <c r="H119" i="3" s="1"/>
  <c r="G20" i="3"/>
  <c r="G34" i="3" s="1"/>
  <c r="G119" i="3" s="1"/>
  <c r="F20" i="3"/>
  <c r="F34" i="3" s="1"/>
  <c r="F119" i="3" s="1"/>
  <c r="J99" i="3"/>
  <c r="J71" i="3"/>
  <c r="J66" i="3"/>
  <c r="J58" i="3"/>
  <c r="J44" i="3"/>
  <c r="J45" i="3"/>
  <c r="G77" i="3"/>
  <c r="G76" i="3" s="1"/>
  <c r="L77" i="3"/>
  <c r="L76" i="3" s="1"/>
  <c r="N76" i="3"/>
  <c r="F77" i="3"/>
  <c r="F76" i="3" s="1"/>
  <c r="L49" i="3"/>
  <c r="F49" i="3"/>
  <c r="G48" i="3"/>
  <c r="H48" i="3"/>
  <c r="I48" i="3"/>
  <c r="J48" i="3"/>
  <c r="K48" i="3"/>
  <c r="L48" i="3"/>
  <c r="F48" i="3"/>
  <c r="G50" i="3"/>
  <c r="E50" i="3" s="1"/>
  <c r="F62" i="3" l="1"/>
  <c r="E23" i="3"/>
  <c r="E19" i="3" s="1"/>
  <c r="H33" i="3"/>
  <c r="I33" i="3"/>
  <c r="J33" i="3"/>
  <c r="K33" i="3"/>
  <c r="E35" i="3"/>
  <c r="L33" i="3"/>
  <c r="E36" i="3"/>
  <c r="E34" i="3"/>
  <c r="F33" i="3"/>
  <c r="G33" i="3"/>
  <c r="N33" i="3"/>
  <c r="G116" i="3"/>
  <c r="G121" i="3" s="1"/>
  <c r="K116" i="3"/>
  <c r="L116" i="3"/>
  <c r="L121" i="3" s="1"/>
  <c r="N116" i="3"/>
  <c r="N121" i="3" s="1"/>
  <c r="F116" i="3"/>
  <c r="F121" i="3" s="1"/>
  <c r="H101" i="3"/>
  <c r="K101" i="3"/>
  <c r="L101" i="3"/>
  <c r="F101" i="3"/>
  <c r="H95" i="3"/>
  <c r="N89" i="3"/>
  <c r="L89" i="3"/>
  <c r="L88" i="3" s="1"/>
  <c r="K89" i="3"/>
  <c r="K88" i="3" s="1"/>
  <c r="J89" i="3"/>
  <c r="J88" i="3" s="1"/>
  <c r="F89" i="3"/>
  <c r="F88" i="3" s="1"/>
  <c r="H82" i="3"/>
  <c r="H81" i="3" s="1"/>
  <c r="L82" i="3"/>
  <c r="L81" i="3" s="1"/>
  <c r="N82" i="3"/>
  <c r="F82" i="3"/>
  <c r="K77" i="3"/>
  <c r="J79" i="3"/>
  <c r="E79" i="3" s="1"/>
  <c r="I67" i="3"/>
  <c r="E67" i="3" s="1"/>
  <c r="G66" i="3"/>
  <c r="E66" i="3" s="1"/>
  <c r="I60" i="3"/>
  <c r="G60" i="3"/>
  <c r="L65" i="3"/>
  <c r="L62" i="3" s="1"/>
  <c r="N95" i="3"/>
  <c r="N94" i="3" s="1"/>
  <c r="L95" i="3"/>
  <c r="L94" i="3" s="1"/>
  <c r="K49" i="3"/>
  <c r="K65" i="3"/>
  <c r="K62" i="3" s="1"/>
  <c r="E89" i="3" l="1"/>
  <c r="N114" i="3"/>
  <c r="N88" i="3"/>
  <c r="N62" i="3"/>
  <c r="N81" i="3"/>
  <c r="G49" i="3"/>
  <c r="G47" i="3" s="1"/>
  <c r="E60" i="3"/>
  <c r="L114" i="3"/>
  <c r="L118" i="3" s="1"/>
  <c r="K121" i="3"/>
  <c r="E33" i="3"/>
  <c r="K76" i="3"/>
  <c r="H94" i="3"/>
  <c r="F81" i="3"/>
  <c r="N47" i="3"/>
  <c r="F47" i="3"/>
  <c r="E48" i="3"/>
  <c r="L47" i="3"/>
  <c r="K47" i="3"/>
  <c r="N38" i="3"/>
  <c r="F38" i="3"/>
  <c r="L38" i="3"/>
  <c r="K38" i="3"/>
  <c r="J49" i="3"/>
  <c r="J86" i="3"/>
  <c r="E86" i="3" s="1"/>
  <c r="J85" i="3"/>
  <c r="E85" i="3" s="1"/>
  <c r="J65" i="3"/>
  <c r="J83" i="3"/>
  <c r="J78" i="3"/>
  <c r="J77" i="3" s="1"/>
  <c r="J72" i="3"/>
  <c r="J63" i="3" s="1"/>
  <c r="J102" i="3"/>
  <c r="J101" i="3" s="1"/>
  <c r="N118" i="3" l="1"/>
  <c r="E114" i="3"/>
  <c r="J62" i="3"/>
  <c r="N113" i="3"/>
  <c r="L113" i="3"/>
  <c r="J76" i="3"/>
  <c r="E119" i="3"/>
  <c r="J82" i="3"/>
  <c r="J47" i="3"/>
  <c r="J41" i="3"/>
  <c r="J40" i="3" s="1"/>
  <c r="I72" i="3"/>
  <c r="I63" i="3" l="1"/>
  <c r="N117" i="3"/>
  <c r="L117" i="3"/>
  <c r="J81" i="3"/>
  <c r="J42" i="3"/>
  <c r="J46" i="3"/>
  <c r="E46" i="3" s="1"/>
  <c r="E42" i="3" l="1"/>
  <c r="J39" i="3"/>
  <c r="J116" i="3" s="1"/>
  <c r="J121" i="3" s="1"/>
  <c r="I116" i="3"/>
  <c r="I121" i="3" s="1"/>
  <c r="I78" i="3"/>
  <c r="I77" i="3" s="1"/>
  <c r="I90" i="3"/>
  <c r="I103" i="3"/>
  <c r="I58" i="3"/>
  <c r="I49" i="3" s="1"/>
  <c r="I76" i="3" l="1"/>
  <c r="I47" i="3"/>
  <c r="E39" i="3"/>
  <c r="J38" i="3"/>
  <c r="I92" i="3"/>
  <c r="I89" i="3" s="1"/>
  <c r="I88" i="3" l="1"/>
  <c r="I44" i="3"/>
  <c r="I71" i="3" l="1"/>
  <c r="I99" i="3" l="1"/>
  <c r="I70" i="3"/>
  <c r="I95" i="3" l="1"/>
  <c r="I94" i="3" s="1"/>
  <c r="I75" i="3"/>
  <c r="I65" i="3" s="1"/>
  <c r="I62" i="3" s="1"/>
  <c r="I45" i="3" l="1"/>
  <c r="I40" i="3" s="1"/>
  <c r="I38" i="3" l="1"/>
  <c r="I102" i="3"/>
  <c r="I101" i="3" l="1"/>
  <c r="K99" i="3"/>
  <c r="J95" i="3"/>
  <c r="K95" i="3" l="1"/>
  <c r="K94" i="3" s="1"/>
  <c r="E99" i="3"/>
  <c r="J114" i="3"/>
  <c r="J118" i="3" s="1"/>
  <c r="J94" i="3"/>
  <c r="H58" i="3"/>
  <c r="H49" i="3" l="1"/>
  <c r="E58" i="3"/>
  <c r="E49" i="3" s="1"/>
  <c r="J113" i="3"/>
  <c r="J117" i="3"/>
  <c r="H47" i="3"/>
  <c r="E47" i="3" s="1"/>
  <c r="I83" i="3"/>
  <c r="I82" i="3" s="1"/>
  <c r="I114" i="3" l="1"/>
  <c r="I118" i="3" s="1"/>
  <c r="I81" i="3"/>
  <c r="H72" i="3"/>
  <c r="E72" i="3" s="1"/>
  <c r="I113" i="3" l="1"/>
  <c r="H63" i="3"/>
  <c r="I117" i="3"/>
  <c r="H45" i="3"/>
  <c r="H44" i="3"/>
  <c r="H71" i="3"/>
  <c r="E71" i="3" s="1"/>
  <c r="E63" i="3" l="1"/>
  <c r="H116" i="3"/>
  <c r="H70" i="3"/>
  <c r="H65" i="3" s="1"/>
  <c r="H62" i="3" s="1"/>
  <c r="H121" i="3" l="1"/>
  <c r="E121" i="3" s="1"/>
  <c r="E116" i="3"/>
  <c r="H43" i="3"/>
  <c r="H40" i="3" s="1"/>
  <c r="H78" i="3"/>
  <c r="E78" i="3" s="1"/>
  <c r="E43" i="3" l="1"/>
  <c r="H77" i="3"/>
  <c r="H38" i="3"/>
  <c r="H76" i="3" l="1"/>
  <c r="E77" i="3"/>
  <c r="E76" i="3" s="1"/>
  <c r="L100" i="3" l="1"/>
  <c r="N100" i="3"/>
  <c r="G73" i="3" l="1"/>
  <c r="G64" i="3" l="1"/>
  <c r="E64" i="3" s="1"/>
  <c r="E73" i="3"/>
  <c r="G115" i="3"/>
  <c r="G120" i="3" l="1"/>
  <c r="E120" i="3" s="1"/>
  <c r="E115" i="3"/>
  <c r="H90" i="3" l="1"/>
  <c r="H89" i="3" s="1"/>
  <c r="H114" i="3" s="1"/>
  <c r="H118" i="3" s="1"/>
  <c r="H113" i="3" l="1"/>
  <c r="H117" i="3"/>
  <c r="H88" i="3"/>
  <c r="G70" i="3"/>
  <c r="E70" i="3" s="1"/>
  <c r="G83" i="3" l="1"/>
  <c r="G45" i="3"/>
  <c r="E45" i="3" s="1"/>
  <c r="G82" i="3" l="1"/>
  <c r="G81" i="3" s="1"/>
  <c r="E83" i="3"/>
  <c r="G44" i="3"/>
  <c r="E44" i="3" s="1"/>
  <c r="G90" i="3" l="1"/>
  <c r="E90" i="3" s="1"/>
  <c r="K82" i="3" l="1"/>
  <c r="K114" i="3" s="1"/>
  <c r="K118" i="3" s="1"/>
  <c r="K117" i="3" s="1"/>
  <c r="K113" i="3" l="1"/>
  <c r="K81" i="3"/>
  <c r="E81" i="3" s="1"/>
  <c r="E82" i="3"/>
  <c r="G98" i="3"/>
  <c r="G103" i="3" l="1"/>
  <c r="G101" i="3" l="1"/>
  <c r="G92" i="3"/>
  <c r="E92" i="3" s="1"/>
  <c r="G89" i="3" l="1"/>
  <c r="G88" i="3" l="1"/>
  <c r="E88" i="3" s="1"/>
  <c r="G96" i="3"/>
  <c r="G95" i="3" l="1"/>
  <c r="G94" i="3" s="1"/>
  <c r="E96" i="3"/>
  <c r="J100" i="3" l="1"/>
  <c r="G41" i="3"/>
  <c r="E41" i="3" l="1"/>
  <c r="G40" i="3"/>
  <c r="K100" i="3"/>
  <c r="F98" i="3"/>
  <c r="E98" i="3" s="1"/>
  <c r="F97" i="3"/>
  <c r="E97" i="3" s="1"/>
  <c r="G75" i="3"/>
  <c r="G65" i="3" l="1"/>
  <c r="G62" i="3" s="1"/>
  <c r="E75" i="3"/>
  <c r="F95" i="3"/>
  <c r="F118" i="3" s="1"/>
  <c r="F100" i="3"/>
  <c r="G100" i="3"/>
  <c r="I100" i="3"/>
  <c r="G38" i="3"/>
  <c r="E38" i="3" s="1"/>
  <c r="E40" i="3"/>
  <c r="E65" i="3" l="1"/>
  <c r="E62" i="3" s="1"/>
  <c r="G114" i="3"/>
  <c r="G118" i="3" s="1"/>
  <c r="G117" i="3" s="1"/>
  <c r="F113" i="3"/>
  <c r="F94" i="3"/>
  <c r="E94" i="3" s="1"/>
  <c r="E95" i="3"/>
  <c r="H100" i="3"/>
  <c r="E100" i="3" s="1"/>
  <c r="G113" i="3" l="1"/>
  <c r="E113" i="3" s="1"/>
  <c r="E118" i="3"/>
  <c r="E117" i="3" s="1"/>
  <c r="F117" i="3" l="1"/>
</calcChain>
</file>

<file path=xl/sharedStrings.xml><?xml version="1.0" encoding="utf-8"?>
<sst xmlns="http://schemas.openxmlformats.org/spreadsheetml/2006/main" count="373" uniqueCount="200">
  <si>
    <t>№ п/п</t>
  </si>
  <si>
    <t>Объем финансирования по годам (тыс.руб.)</t>
  </si>
  <si>
    <t>1.1.</t>
  </si>
  <si>
    <t>2.1.</t>
  </si>
  <si>
    <t>3.1.</t>
  </si>
  <si>
    <t>3.2.</t>
  </si>
  <si>
    <t>3.3.</t>
  </si>
  <si>
    <t>4.1.</t>
  </si>
  <si>
    <t>4.2.</t>
  </si>
  <si>
    <t>5.1.</t>
  </si>
  <si>
    <t>5.2.</t>
  </si>
  <si>
    <t>5.3.</t>
  </si>
  <si>
    <t>6.2.</t>
  </si>
  <si>
    <t>6.3.</t>
  </si>
  <si>
    <t>Срок исполнения</t>
  </si>
  <si>
    <t>Источники финансирования</t>
  </si>
  <si>
    <t>4.3.</t>
  </si>
  <si>
    <t>Всего  (тыс.руб.)</t>
  </si>
  <si>
    <t xml:space="preserve"> Бюджет МО Сертолово</t>
  </si>
  <si>
    <t>Бюджет МО Сертолово</t>
  </si>
  <si>
    <t>Обеспечение исправного и работоспособного состояния водоотводных сооружений</t>
  </si>
  <si>
    <t>Улучшение внешнего вида города</t>
  </si>
  <si>
    <t>Увеличение площади зелёных насаждений, снижение уровня загрязнения атмосферного воздуха, улучшение экологического состояния города</t>
  </si>
  <si>
    <t>Обеспечение чистоты и порядка , улучшение санитарного и экологического состояния города</t>
  </si>
  <si>
    <t xml:space="preserve">Вывоз разукомплектованных машин с территории города </t>
  </si>
  <si>
    <t xml:space="preserve">Улучшение внешнего облика города, придание эстетического вида </t>
  </si>
  <si>
    <t>Подготовка к празднику и оформление территории города на период проведения праздника - День Победы</t>
  </si>
  <si>
    <t>Подготовка к празднику и оформление территории города на период проведения праздника - День Города</t>
  </si>
  <si>
    <t>Поддержание мест массового скопления жителей в надлежащем состояниии</t>
  </si>
  <si>
    <t>Обеспечение безопасности дорожного движения,создание оптимальных условий движения транспортных потоков</t>
  </si>
  <si>
    <t xml:space="preserve">Обеспечение  безопасности  движения пешеходов </t>
  </si>
  <si>
    <t xml:space="preserve">Подготовка к празднику и оформление территории города на период проведения праздника - Новый год                                                                                                </t>
  </si>
  <si>
    <t>7.1.</t>
  </si>
  <si>
    <t>Уход за газонами и зелеными насаждениями</t>
  </si>
  <si>
    <t xml:space="preserve">Завоз земли для устройства клумб и газонов в жилой зоне  города </t>
  </si>
  <si>
    <t xml:space="preserve">Содержание ливневой канализации </t>
  </si>
  <si>
    <t>Вырубка сухих и аварийных деревьев с компенсационной посадкой молодых саженцев</t>
  </si>
  <si>
    <t xml:space="preserve">Корректировка "Проекта организации дорожного движения в городе Сертолово Всеволожского района Ленинградской области" </t>
  </si>
  <si>
    <t>Итого по программе, в т.ч:</t>
  </si>
  <si>
    <t xml:space="preserve"> МУ "Оказание услуг "Развитие"</t>
  </si>
  <si>
    <t>7.2.</t>
  </si>
  <si>
    <t>Оплата электроэнергии, потребленной уличным освещением</t>
  </si>
  <si>
    <t xml:space="preserve">                                                  к постановлению администрации</t>
  </si>
  <si>
    <t xml:space="preserve">                  МО Сертолово</t>
  </si>
  <si>
    <t xml:space="preserve">                          ПРИЛОЖЕНИЕ №1</t>
  </si>
  <si>
    <t>Ремонт асфальтобетонных покрытий автомобильных дорог и проездов к дворовым территориям многоквартирных домов</t>
  </si>
  <si>
    <t>Текущий ремонт трещин и выбоин асфальтобетонных покрытий автомобильных  дорог и проездов к дворовым территориям многоквартирных домов</t>
  </si>
  <si>
    <t>Поддержание  улично-дорожной сети  в чистоте и порядке,улучшение её санитарного состояния</t>
  </si>
  <si>
    <t>Санитарная уборка территории города  в зимнее и летнее время</t>
  </si>
  <si>
    <t>Улучшение внешнего вида города, обеспечение безопасности</t>
  </si>
  <si>
    <t>Содержание мест массового скопления жителей города</t>
  </si>
  <si>
    <t>Комплектация дополнительным оборудованием детских и спортивных площадок</t>
  </si>
  <si>
    <t>Обеспечение занятости и физического развития детей</t>
  </si>
  <si>
    <t>Улучшение внешнего вида территории, защита зелёных насаждений</t>
  </si>
  <si>
    <t xml:space="preserve">Улучшение внешнего вида города, обеспечение комфортных условий проживания жителей города </t>
  </si>
  <si>
    <t>Устройство декоративного ограждения</t>
  </si>
  <si>
    <t>Устройство и содержание малых архитектурных форм и других элементов благоустройства</t>
  </si>
  <si>
    <t>Устройство и содержание технических средств организации дорожного движения</t>
  </si>
  <si>
    <t>Механизированная  уборка автомобильных дорог, проездов к дворовым территориям многоквартирных домов с элементами ручной уборки в зимнее и летнее время</t>
  </si>
  <si>
    <t>Обеспечение праздничного вида города</t>
  </si>
  <si>
    <t>Содержание и текущий ремонт сети и оборудования уличного освещения города</t>
  </si>
  <si>
    <t>Капитальный ремонт автомобильных дорог и проездов города Сертолово</t>
  </si>
  <si>
    <t>Проектирование участков улично-дорожной сети</t>
  </si>
  <si>
    <t>Уход за дорожными знаками</t>
  </si>
  <si>
    <t xml:space="preserve">Поддержание в чистоте и порядке дорожных знаков </t>
  </si>
  <si>
    <t>Бюджет Всеволожского муниципального района</t>
  </si>
  <si>
    <t>Исполнение требований санитарного закодательства РФ,  проведение дополнительных противоэпидимических мероприятий, профилактика инфекций, передающихся иксоидными клещами</t>
  </si>
  <si>
    <t>Проведение акарицидных обработок территорий парков, скверов, зон рекреаций, кладбищ и др. мест массового посещения населения  города</t>
  </si>
  <si>
    <t xml:space="preserve">Обеспечение безопасности дорожного движения, сохранности существующей сети дорог, создание оптимальных условий движения транспортных потоков </t>
  </si>
  <si>
    <t>4.4.</t>
  </si>
  <si>
    <t>Уничтожение борщевика Сосновского химическим способом</t>
  </si>
  <si>
    <t>Обеспечение безопасности и здоровья граждан, улучшение внешнего облика города</t>
  </si>
  <si>
    <t>8.1.</t>
  </si>
  <si>
    <t>Разработка дизайн-проектов благоустройства общественных и дворовых территорий города</t>
  </si>
  <si>
    <t>Обеспечение условий для комфортного культурного отдыха и времяпрепровождения жителей города</t>
  </si>
  <si>
    <t>8.2.</t>
  </si>
  <si>
    <t>МУ "Оказание услуг "Развитие"</t>
  </si>
  <si>
    <t>Устройство цветочной клумбы в районе д. 6 мкр. Черная Речка в г. Сертолово</t>
  </si>
  <si>
    <t>Устройство и содержание детских и спортивных площадок и других объектов благоустройства</t>
  </si>
  <si>
    <t>Обеспечение безопасности отдыха детей на детских и спортивных площадках и других объектах благоустройства</t>
  </si>
  <si>
    <t>Посадка деревьев на территории города Сертолово</t>
  </si>
  <si>
    <t>Подготовка и оформление территории города на период проведения праздничных мероприятий</t>
  </si>
  <si>
    <t>Разработка комплексной схемы организации дорожного движения на территории города Сертолово Всеволожского района Ленинградской области</t>
  </si>
  <si>
    <t>Диагностика и оценка состояния автомобильных дорог и проездов к дворовым территориям многоквартирных домов города Сертолово</t>
  </si>
  <si>
    <t>Проектная часть</t>
  </si>
  <si>
    <t>Федеральный проект "Формирование комфортной городской среды" национального проекта "Жилье и городская среда"</t>
  </si>
  <si>
    <t>ПЛАН РЕАЛИЗАЦИИ</t>
  </si>
  <si>
    <t>Благоустройство общественных территорий города Сертолово</t>
  </si>
  <si>
    <t>Федеральный бюджет</t>
  </si>
  <si>
    <t>Областной бюджет ЛО</t>
  </si>
  <si>
    <t>Всего,
в том числе:</t>
  </si>
  <si>
    <t>Обеспечение условий для комфортного и культурного времяпрепровождения жителей города</t>
  </si>
  <si>
    <t>Процессная часть</t>
  </si>
  <si>
    <t>Комплекс процессных мероприятий "Устройство, замена, ремонт и текущее содержание детских и спортивных площадок, малых архитектурных форм и прочих элементов благоустройства на территории города Сертолово"</t>
  </si>
  <si>
    <t>2017-2021</t>
  </si>
  <si>
    <t>Создание мест (площадок) накопления твердых коммунальных отходов</t>
  </si>
  <si>
    <t>3.4.</t>
  </si>
  <si>
    <t>Всего,
в том числе</t>
  </si>
  <si>
    <t>6.</t>
  </si>
  <si>
    <t>Комплекс процессных мероприятий "Организация санитарного содержания территории города Сертолово"</t>
  </si>
  <si>
    <t>7.</t>
  </si>
  <si>
    <t>Комплекс процессных мероприятий "Организация оформления территории города Сертолово на период проведения праздничных мероприятий"</t>
  </si>
  <si>
    <t>7.3.</t>
  </si>
  <si>
    <t>7.4.</t>
  </si>
  <si>
    <t>Комплекс процессных мероприятий "Организация уличного освещения территории города Сертолово"</t>
  </si>
  <si>
    <t>Бесперебойное освещение города в вечернее и ночное время суток, обеспечение безопасного движения транспортных средств и пешеходов в вечернее и ночное время суток</t>
  </si>
  <si>
    <t>Областной бюджет Ленинградской области</t>
  </si>
  <si>
    <t>9.</t>
  </si>
  <si>
    <t>9.1.</t>
  </si>
  <si>
    <t xml:space="preserve">2017-2018  </t>
  </si>
  <si>
    <t>Комплекс процессных мероприятий "Организация озеленения территории города Сертолово"</t>
  </si>
  <si>
    <t>Формирование и содержание объекта внешнего благоустройства «Зона отдыха «Сертала» с элементами благоустройства территории, малыми архитектурными формами, фонарями, скамейками, спортивными и детскими площадками</t>
  </si>
  <si>
    <t>Обустройство и содержание объекта внешнего благоустройство «Аллея памяти с монументом воинам, погибшим в локальных войнах и военных конфликтах»</t>
  </si>
  <si>
    <t>Формирование и обустройство объекта внешнего благоустройства «Аллея молодоженов»</t>
  </si>
  <si>
    <t>Формирование и обустройство объекта внешнего благоустройства «Городская площадь»</t>
  </si>
  <si>
    <t>"Формирование и обустройство объекта внешнего благоустройства в районе д. 4, 7 мкр. Черная Речка в г. Сертолово</t>
  </si>
  <si>
    <t>"Комплекс процессных мероприятий "Санитарное содержание улично-дорожной сети города Сертолово"</t>
  </si>
  <si>
    <t>5.</t>
  </si>
  <si>
    <t>8.</t>
  </si>
  <si>
    <t>8.3.</t>
  </si>
  <si>
    <t>8.4.</t>
  </si>
  <si>
    <t>9.2.</t>
  </si>
  <si>
    <t>6.1.</t>
  </si>
  <si>
    <t>Комплекс процессных мероприятий "Планирование и осуществление дорожной деятельности на территории города Сертолово"</t>
  </si>
  <si>
    <t>Итого
по проектной части, в т.ч.</t>
  </si>
  <si>
    <t>Итого
по процессной части, в т.ч.</t>
  </si>
  <si>
    <t>1.</t>
  </si>
  <si>
    <t>2.</t>
  </si>
  <si>
    <t>3.</t>
  </si>
  <si>
    <t>4.</t>
  </si>
  <si>
    <t>4.5.</t>
  </si>
  <si>
    <t>4.6.</t>
  </si>
  <si>
    <t>4.7.</t>
  </si>
  <si>
    <t>4.8.</t>
  </si>
  <si>
    <t>2017-2018</t>
  </si>
  <si>
    <t>2018-2019</t>
  </si>
  <si>
    <t>2019, 2021</t>
  </si>
  <si>
    <t xml:space="preserve"> МУНИЦИПАЛЬНОЙ ПРОГРАММЫ</t>
  </si>
  <si>
    <t>2018-2022</t>
  </si>
  <si>
    <t xml:space="preserve"> МУ "Оказание услуг "Развитие"
Комитет ЖКХ</t>
  </si>
  <si>
    <t>10.</t>
  </si>
  <si>
    <t>10.1.</t>
  </si>
  <si>
    <t>Комплекс процессных мероприятий "Обеспечение деятельности подведомственного учреждения"</t>
  </si>
  <si>
    <t>Обеспечение деятельности Сертоловского муниципального учреждения "Оказание услуг "Развитие"</t>
  </si>
  <si>
    <t>"Благоустроенный город Сертолово" на 2017-2025 годы</t>
  </si>
  <si>
    <t>2019 - 2025</t>
  </si>
  <si>
    <t>Отраслевой проект «Эффективное обращение с отходами производства и потребления на территории Ленинградской области»</t>
  </si>
  <si>
    <t>5.4.</t>
  </si>
  <si>
    <t>5.5.</t>
  </si>
  <si>
    <t>5.6.</t>
  </si>
  <si>
    <t>5.7.</t>
  </si>
  <si>
    <t>5.8.</t>
  </si>
  <si>
    <t>7.5.</t>
  </si>
  <si>
    <t>9.3.</t>
  </si>
  <si>
    <t>9.4.</t>
  </si>
  <si>
    <t>10.2.</t>
  </si>
  <si>
    <t>11.</t>
  </si>
  <si>
    <t>11.1.</t>
  </si>
  <si>
    <t>Наименование структурных элементов программы и их мероприятий</t>
  </si>
  <si>
    <t>Ответственный за реализацию струкутурных элементов программы и их мероприятий</t>
  </si>
  <si>
    <t>Ожидаемый результат реализации струкутурных элементов программы и их мероприятий</t>
  </si>
  <si>
    <t>Комплекс процессных мероприятий "Устройство, обустройство и содержание общественных и дворовых территорий, пешеходных зон города Сертолово"</t>
  </si>
  <si>
    <t>Комплекс процессных мероприятий "Организация ритуальных услуг и содержание мест захоронения"</t>
  </si>
  <si>
    <t>2023-2025</t>
  </si>
  <si>
    <t>12.1.</t>
  </si>
  <si>
    <t>Обеспечение деятельности Муниципального бюджетного учреждения "Ритуальные услуги"</t>
  </si>
  <si>
    <t>МБУ "Ритуальные услуги"</t>
  </si>
  <si>
    <t>12.2.</t>
  </si>
  <si>
    <t>Организация мероприятий в сфере оказания ритуальных услуг</t>
  </si>
  <si>
    <t>Организация похоронного дела, санитарное содержание кладбищ</t>
  </si>
  <si>
    <t>2017-2025</t>
  </si>
  <si>
    <t>2017-2020,
2022-2025</t>
  </si>
  <si>
    <t>2018-2025</t>
  </si>
  <si>
    <t xml:space="preserve">2019-2025  </t>
  </si>
  <si>
    <t xml:space="preserve">2017-2025  </t>
  </si>
  <si>
    <t>Обустройство и содержание общественных и дворовых территорий, пешеходных зон города Сертолово</t>
  </si>
  <si>
    <t>2018-2021, 2024</t>
  </si>
  <si>
    <t xml:space="preserve">2017-2018, 2025  </t>
  </si>
  <si>
    <t>4.9.</t>
  </si>
  <si>
    <t>Обустройство мест (площадок) накопления твердых коммунальных отходов на территории города Сертолово</t>
  </si>
  <si>
    <t>2021, 2023-2025</t>
  </si>
  <si>
    <t>2017-2020, 2022, 2023-2025</t>
  </si>
  <si>
    <t>2017-2020,
2022, 2024-2025</t>
  </si>
  <si>
    <t>2021, 2023-2024</t>
  </si>
  <si>
    <t>2017-2020, 2022-2023</t>
  </si>
  <si>
    <t>Обеспечение условий для надлежащего функционирования учреждения, осуществление деятельности в соответствии с Уставом учреждения</t>
  </si>
  <si>
    <t>2019-2020; 2025</t>
  </si>
  <si>
    <t>МБУ "Сертоловские уличные сети"</t>
  </si>
  <si>
    <t>10.3.</t>
  </si>
  <si>
    <t>10.4.</t>
  </si>
  <si>
    <t>Обеспечение деятельности муниципального учреждения "Сертоловские уличные сети"</t>
  </si>
  <si>
    <t>Организация мероприятий в сфере уличного освещения города</t>
  </si>
  <si>
    <t>15501S4790</t>
  </si>
  <si>
    <t>15404S4840</t>
  </si>
  <si>
    <t>15403S5130</t>
  </si>
  <si>
    <t>154049Д070</t>
  </si>
  <si>
    <t>154049Д110</t>
  </si>
  <si>
    <t>154049Д200</t>
  </si>
  <si>
    <t>154059Д120</t>
  </si>
  <si>
    <r>
      <t xml:space="preserve">ПРИЛОЖЕНИЕ №1
к постановлению администрации 
МО Сертолово
</t>
    </r>
    <r>
      <rPr>
        <u/>
        <sz val="12"/>
        <rFont val="Times New Roman"/>
        <family val="1"/>
        <charset val="204"/>
      </rPr>
      <t>от 08.10.2025  № 1340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</si>
</sst>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sz val="10"/>
      <name val="Times New Roman"/>
      <family val="1"/>
      <charset val="204"/>
      <scheme val="minor"/>
    </font>
    <font>
      <b/>
      <sz val="9"/>
      <name val="Times New Roman"/>
      <family val="1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sz val="9"/>
      <name val="Times New Roman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8" fillId="0" borderId="0" xfId="0" applyFont="1"/>
    <xf numFmtId="0" fontId="1" fillId="0" borderId="0" xfId="0" applyFont="1"/>
    <xf numFmtId="0" fontId="2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/>
    <xf numFmtId="0" fontId="7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0" fillId="0" borderId="0" xfId="0" applyFont="1"/>
    <xf numFmtId="164" fontId="12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/>
    <xf numFmtId="0" fontId="12" fillId="4" borderId="1" xfId="0" applyFont="1" applyFill="1" applyBorder="1" applyAlignment="1">
      <alignment horizontal="left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" fontId="9" fillId="0" borderId="1" xfId="0" quotePrefix="1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1" fontId="9" fillId="0" borderId="1" xfId="0" quotePrefix="1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quotePrefix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64" fontId="10" fillId="0" borderId="0" xfId="0" applyNumberFormat="1" applyFont="1"/>
    <xf numFmtId="1" fontId="10" fillId="0" borderId="0" xfId="0" applyNumberFormat="1" applyFont="1"/>
    <xf numFmtId="164" fontId="9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16" fontId="9" fillId="5" borderId="1" xfId="0" quotePrefix="1" applyNumberFormat="1" applyFont="1" applyFill="1" applyBorder="1" applyAlignment="1">
      <alignment horizontal="center" vertical="center" wrapText="1"/>
    </xf>
    <xf numFmtId="16" fontId="9" fillId="5" borderId="1" xfId="0" quotePrefix="1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1" fontId="9" fillId="5" borderId="1" xfId="0" quotePrefix="1" applyNumberFormat="1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9" fillId="5" borderId="1" xfId="0" quotePrefix="1" applyFont="1" applyFill="1" applyBorder="1" applyAlignment="1">
      <alignment horizontal="center" vertical="center" wrapText="1"/>
    </xf>
    <xf numFmtId="16" fontId="9" fillId="0" borderId="1" xfId="0" quotePrefix="1" applyNumberFormat="1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6444" name="AutoShape 1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>
          <a:spLocks/>
        </xdr:cNvSpPr>
      </xdr:nvSpPr>
      <xdr:spPr bwMode="auto">
        <a:xfrm>
          <a:off x="0" y="18002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0</xdr:colOff>
      <xdr:row>75</xdr:row>
      <xdr:rowOff>0</xdr:rowOff>
    </xdr:to>
    <xdr:sp macro="" textlink="">
      <xdr:nvSpPr>
        <xdr:cNvPr id="6445" name="AutoShape 2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>
          <a:spLocks/>
        </xdr:cNvSpPr>
      </xdr:nvSpPr>
      <xdr:spPr bwMode="auto">
        <a:xfrm>
          <a:off x="0" y="146970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1"/>
  <sheetViews>
    <sheetView tabSelected="1" view="pageBreakPreview" topLeftCell="A4" zoomScaleNormal="100" zoomScaleSheetLayoutView="100" workbookViewId="0">
      <pane ySplit="14" topLeftCell="A68" activePane="bottomLeft" state="frozen"/>
      <selection activeCell="A5" sqref="A5"/>
      <selection pane="bottomLeft" activeCell="S11" sqref="S11"/>
    </sheetView>
  </sheetViews>
  <sheetFormatPr defaultColWidth="9.140625" defaultRowHeight="12.75" x14ac:dyDescent="0.2"/>
  <cols>
    <col min="1" max="1" width="4.42578125" style="3" customWidth="1"/>
    <col min="2" max="2" width="25.42578125" style="3" customWidth="1"/>
    <col min="3" max="3" width="13.42578125" style="3" customWidth="1"/>
    <col min="4" max="4" width="10.7109375" style="3" customWidth="1"/>
    <col min="5" max="5" width="9.42578125" style="3" customWidth="1"/>
    <col min="6" max="6" width="8.85546875" style="3" customWidth="1"/>
    <col min="7" max="7" width="8.42578125" style="3" customWidth="1"/>
    <col min="8" max="10" width="8.7109375" style="11" customWidth="1"/>
    <col min="11" max="11" width="8.28515625" style="11" customWidth="1"/>
    <col min="12" max="13" width="9" style="11" customWidth="1"/>
    <col min="14" max="14" width="8.85546875" style="11" customWidth="1"/>
    <col min="15" max="15" width="13.42578125" style="3" customWidth="1"/>
    <col min="16" max="16" width="19.42578125" style="3" customWidth="1"/>
    <col min="17" max="17" width="12.5703125" style="3" customWidth="1"/>
    <col min="18" max="18" width="9.42578125" style="3" bestFit="1" customWidth="1"/>
    <col min="19" max="16384" width="9.140625" style="3"/>
  </cols>
  <sheetData>
    <row r="1" spans="1:17" ht="15.75" hidden="1" x14ac:dyDescent="0.25">
      <c r="A1" s="1"/>
      <c r="B1" s="1"/>
      <c r="C1" s="1"/>
      <c r="D1" s="1"/>
      <c r="E1" s="1"/>
      <c r="F1" s="1"/>
      <c r="G1" s="70" t="s">
        <v>44</v>
      </c>
      <c r="H1" s="70"/>
      <c r="I1" s="70"/>
      <c r="J1" s="70"/>
      <c r="K1" s="70"/>
      <c r="L1" s="70"/>
      <c r="M1" s="70"/>
      <c r="N1" s="70"/>
      <c r="O1" s="70"/>
      <c r="P1" s="70"/>
      <c r="Q1" s="2"/>
    </row>
    <row r="2" spans="1:17" ht="14.25" hidden="1" customHeight="1" x14ac:dyDescent="0.25">
      <c r="A2" s="1"/>
      <c r="B2" s="1"/>
      <c r="C2" s="1"/>
      <c r="D2" s="1"/>
      <c r="E2" s="1"/>
      <c r="F2" s="1"/>
      <c r="G2" s="70" t="s">
        <v>42</v>
      </c>
      <c r="H2" s="70"/>
      <c r="I2" s="70"/>
      <c r="J2" s="70"/>
      <c r="K2" s="70"/>
      <c r="L2" s="70"/>
      <c r="M2" s="70"/>
      <c r="N2" s="70"/>
      <c r="O2" s="70"/>
      <c r="P2" s="70"/>
      <c r="Q2" s="2"/>
    </row>
    <row r="3" spans="1:17" ht="14.25" hidden="1" customHeight="1" x14ac:dyDescent="0.25">
      <c r="A3" s="1"/>
      <c r="B3" s="1"/>
      <c r="C3" s="1"/>
      <c r="D3" s="1"/>
      <c r="E3" s="1"/>
      <c r="F3" s="1"/>
      <c r="G3" s="70" t="s">
        <v>43</v>
      </c>
      <c r="H3" s="70"/>
      <c r="I3" s="70"/>
      <c r="J3" s="70"/>
      <c r="K3" s="70"/>
      <c r="L3" s="70"/>
      <c r="M3" s="70"/>
      <c r="N3" s="70"/>
      <c r="O3" s="70"/>
      <c r="P3" s="70"/>
      <c r="Q3" s="2"/>
    </row>
    <row r="4" spans="1:17" ht="14.25" customHeight="1" x14ac:dyDescent="0.25">
      <c r="A4" s="1"/>
      <c r="B4" s="1"/>
      <c r="C4" s="1"/>
      <c r="D4" s="1"/>
      <c r="E4" s="1"/>
      <c r="F4" s="1"/>
      <c r="G4" s="39"/>
      <c r="H4" s="39"/>
      <c r="I4" s="39"/>
      <c r="J4" s="39"/>
      <c r="K4" s="39"/>
      <c r="L4" s="39"/>
      <c r="M4" s="39"/>
      <c r="N4" s="39"/>
      <c r="O4" s="39"/>
      <c r="P4" s="39"/>
      <c r="Q4" s="2"/>
    </row>
    <row r="5" spans="1:17" ht="15" customHeight="1" x14ac:dyDescent="0.25">
      <c r="A5" s="1"/>
      <c r="B5" s="1"/>
      <c r="C5" s="1"/>
      <c r="D5" s="1"/>
      <c r="E5" s="1"/>
      <c r="F5" s="4"/>
      <c r="G5" s="39"/>
      <c r="H5" s="40"/>
      <c r="I5" s="40"/>
      <c r="J5" s="40"/>
      <c r="K5" s="40"/>
      <c r="L5" s="40"/>
      <c r="M5" s="42"/>
      <c r="N5" s="72" t="s">
        <v>199</v>
      </c>
      <c r="O5" s="72"/>
      <c r="P5" s="72"/>
      <c r="Q5" s="5"/>
    </row>
    <row r="6" spans="1:17" ht="15" customHeight="1" x14ac:dyDescent="0.25">
      <c r="A6" s="1"/>
      <c r="B6" s="1"/>
      <c r="C6" s="1"/>
      <c r="D6" s="1"/>
      <c r="E6" s="1"/>
      <c r="F6" s="4"/>
      <c r="G6" s="39"/>
      <c r="H6" s="40"/>
      <c r="I6" s="40"/>
      <c r="J6" s="40"/>
      <c r="K6" s="40"/>
      <c r="L6" s="40"/>
      <c r="M6" s="2"/>
      <c r="N6" s="72"/>
      <c r="O6" s="72"/>
      <c r="P6" s="72"/>
      <c r="Q6" s="5"/>
    </row>
    <row r="7" spans="1:17" ht="15" customHeight="1" x14ac:dyDescent="0.25">
      <c r="A7" s="1"/>
      <c r="B7" s="1"/>
      <c r="C7" s="1"/>
      <c r="D7" s="1"/>
      <c r="E7" s="1"/>
      <c r="F7" s="4"/>
      <c r="G7" s="39"/>
      <c r="H7" s="40"/>
      <c r="I7" s="40"/>
      <c r="J7" s="40"/>
      <c r="K7" s="40"/>
      <c r="L7" s="40"/>
      <c r="M7" s="2"/>
      <c r="N7" s="72"/>
      <c r="O7" s="72"/>
      <c r="P7" s="72"/>
      <c r="Q7" s="5"/>
    </row>
    <row r="8" spans="1:17" ht="15" customHeight="1" x14ac:dyDescent="0.25">
      <c r="A8" s="1"/>
      <c r="B8" s="1"/>
      <c r="C8" s="1"/>
      <c r="D8" s="1"/>
      <c r="E8" s="1"/>
      <c r="F8" s="4"/>
      <c r="G8" s="39"/>
      <c r="H8" s="40"/>
      <c r="I8" s="40"/>
      <c r="J8" s="40"/>
      <c r="K8" s="40"/>
      <c r="L8" s="40"/>
      <c r="M8" s="2"/>
      <c r="N8" s="72"/>
      <c r="O8" s="72"/>
      <c r="P8" s="72"/>
      <c r="Q8" s="5"/>
    </row>
    <row r="9" spans="1:17" ht="15" customHeight="1" x14ac:dyDescent="0.25">
      <c r="A9" s="1"/>
      <c r="B9" s="1"/>
      <c r="C9" s="1"/>
      <c r="D9" s="1"/>
      <c r="E9" s="1"/>
      <c r="F9" s="4"/>
      <c r="G9" s="39"/>
      <c r="H9" s="40"/>
      <c r="I9" s="40"/>
      <c r="J9" s="40"/>
      <c r="K9" s="40"/>
      <c r="L9" s="40"/>
      <c r="M9" s="41"/>
      <c r="N9" s="41"/>
      <c r="O9" s="41"/>
      <c r="P9" s="41"/>
      <c r="Q9" s="5"/>
    </row>
    <row r="10" spans="1:17" ht="15" customHeight="1" x14ac:dyDescent="0.25">
      <c r="A10" s="6"/>
      <c r="B10" s="6"/>
      <c r="C10" s="6"/>
      <c r="D10" s="6"/>
      <c r="E10" s="6"/>
      <c r="F10" s="7"/>
      <c r="G10" s="8"/>
      <c r="H10" s="9"/>
      <c r="I10" s="9"/>
      <c r="J10" s="9"/>
      <c r="K10" s="9"/>
      <c r="L10" s="9"/>
      <c r="M10" s="9"/>
      <c r="N10" s="9"/>
      <c r="O10" s="9"/>
      <c r="P10" s="9"/>
      <c r="Q10" s="5"/>
    </row>
    <row r="11" spans="1:17" s="6" customFormat="1" ht="15.75" customHeight="1" x14ac:dyDescent="0.3">
      <c r="A11" s="71" t="s">
        <v>86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1:17" s="6" customFormat="1" ht="16.5" customHeight="1" x14ac:dyDescent="0.3">
      <c r="A12" s="71" t="s">
        <v>137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1:17" ht="15" customHeight="1" x14ac:dyDescent="0.3">
      <c r="A13" s="71" t="s">
        <v>144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spans="1:17" ht="15.75" customHeight="1" x14ac:dyDescent="0.3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spans="1:17" ht="27.75" customHeight="1" x14ac:dyDescent="0.2">
      <c r="A15" s="61" t="s">
        <v>0</v>
      </c>
      <c r="B15" s="61" t="s">
        <v>158</v>
      </c>
      <c r="C15" s="61" t="s">
        <v>15</v>
      </c>
      <c r="D15" s="61" t="s">
        <v>14</v>
      </c>
      <c r="E15" s="61" t="s">
        <v>17</v>
      </c>
      <c r="F15" s="61" t="s">
        <v>1</v>
      </c>
      <c r="G15" s="61"/>
      <c r="H15" s="61"/>
      <c r="I15" s="61"/>
      <c r="J15" s="61"/>
      <c r="K15" s="61"/>
      <c r="L15" s="61"/>
      <c r="M15" s="61"/>
      <c r="N15" s="61"/>
      <c r="O15" s="61" t="s">
        <v>159</v>
      </c>
      <c r="P15" s="61" t="s">
        <v>160</v>
      </c>
      <c r="Q15" s="13"/>
    </row>
    <row r="16" spans="1:17" ht="56.25" customHeight="1" x14ac:dyDescent="0.2">
      <c r="A16" s="61"/>
      <c r="B16" s="61"/>
      <c r="C16" s="61"/>
      <c r="D16" s="61"/>
      <c r="E16" s="61"/>
      <c r="F16" s="21">
        <v>2017</v>
      </c>
      <c r="G16" s="21">
        <v>2018</v>
      </c>
      <c r="H16" s="21">
        <v>2019</v>
      </c>
      <c r="I16" s="21">
        <v>2020</v>
      </c>
      <c r="J16" s="21">
        <v>2021</v>
      </c>
      <c r="K16" s="21">
        <v>2022</v>
      </c>
      <c r="L16" s="21">
        <v>2023</v>
      </c>
      <c r="M16" s="21">
        <v>2024</v>
      </c>
      <c r="N16" s="21">
        <v>2025</v>
      </c>
      <c r="O16" s="61"/>
      <c r="P16" s="61"/>
      <c r="Q16" s="13"/>
    </row>
    <row r="17" spans="1:17" x14ac:dyDescent="0.2">
      <c r="A17" s="14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4">
        <v>7</v>
      </c>
      <c r="H17" s="14">
        <v>8</v>
      </c>
      <c r="I17" s="14">
        <v>9</v>
      </c>
      <c r="J17" s="14">
        <v>10</v>
      </c>
      <c r="K17" s="14">
        <v>11</v>
      </c>
      <c r="L17" s="14">
        <v>12</v>
      </c>
      <c r="M17" s="14">
        <v>13</v>
      </c>
      <c r="N17" s="14">
        <v>14</v>
      </c>
      <c r="O17" s="14">
        <v>15</v>
      </c>
      <c r="P17" s="14">
        <v>16</v>
      </c>
      <c r="Q17" s="13"/>
    </row>
    <row r="18" spans="1:17" x14ac:dyDescent="0.2">
      <c r="A18" s="54" t="s">
        <v>84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13"/>
    </row>
    <row r="19" spans="1:17" ht="24" x14ac:dyDescent="0.2">
      <c r="A19" s="55" t="s">
        <v>126</v>
      </c>
      <c r="B19" s="56" t="s">
        <v>85</v>
      </c>
      <c r="C19" s="32" t="s">
        <v>90</v>
      </c>
      <c r="D19" s="55"/>
      <c r="E19" s="33">
        <f t="shared" ref="E19:N19" si="0">E23</f>
        <v>122786.3</v>
      </c>
      <c r="F19" s="33">
        <f t="shared" si="0"/>
        <v>0</v>
      </c>
      <c r="G19" s="33">
        <f t="shared" si="0"/>
        <v>16000</v>
      </c>
      <c r="H19" s="33">
        <f t="shared" si="0"/>
        <v>31600</v>
      </c>
      <c r="I19" s="33">
        <f t="shared" si="0"/>
        <v>42800</v>
      </c>
      <c r="J19" s="33">
        <f t="shared" si="0"/>
        <v>14286</v>
      </c>
      <c r="K19" s="33">
        <f t="shared" si="0"/>
        <v>18100.3</v>
      </c>
      <c r="L19" s="33">
        <f t="shared" si="0"/>
        <v>0</v>
      </c>
      <c r="M19" s="33">
        <f t="shared" ref="M19" si="1">M23</f>
        <v>0</v>
      </c>
      <c r="N19" s="33">
        <f t="shared" si="0"/>
        <v>0</v>
      </c>
      <c r="O19" s="55"/>
      <c r="P19" s="56"/>
      <c r="Q19" s="13"/>
    </row>
    <row r="20" spans="1:17" ht="24" x14ac:dyDescent="0.2">
      <c r="A20" s="55"/>
      <c r="B20" s="56"/>
      <c r="C20" s="32" t="s">
        <v>88</v>
      </c>
      <c r="D20" s="55"/>
      <c r="E20" s="33">
        <f t="shared" ref="E20:N20" si="2">E24</f>
        <v>36127.599999999999</v>
      </c>
      <c r="F20" s="34">
        <f t="shared" si="2"/>
        <v>0</v>
      </c>
      <c r="G20" s="34">
        <f t="shared" si="2"/>
        <v>3495</v>
      </c>
      <c r="H20" s="34">
        <f t="shared" si="2"/>
        <v>10560</v>
      </c>
      <c r="I20" s="34">
        <f t="shared" si="2"/>
        <v>12852.5</v>
      </c>
      <c r="J20" s="34">
        <f t="shared" si="2"/>
        <v>4071.6</v>
      </c>
      <c r="K20" s="34">
        <f t="shared" si="2"/>
        <v>5148.5</v>
      </c>
      <c r="L20" s="34">
        <f t="shared" si="2"/>
        <v>0</v>
      </c>
      <c r="M20" s="34">
        <f t="shared" ref="M20" si="3">M24</f>
        <v>0</v>
      </c>
      <c r="N20" s="34">
        <f t="shared" si="2"/>
        <v>0</v>
      </c>
      <c r="O20" s="55"/>
      <c r="P20" s="56"/>
      <c r="Q20" s="13"/>
    </row>
    <row r="21" spans="1:17" ht="24" x14ac:dyDescent="0.2">
      <c r="A21" s="55"/>
      <c r="B21" s="56"/>
      <c r="C21" s="32" t="s">
        <v>89</v>
      </c>
      <c r="D21" s="55"/>
      <c r="E21" s="33">
        <f t="shared" ref="E21:N21" si="4">E25</f>
        <v>77216</v>
      </c>
      <c r="F21" s="34">
        <f t="shared" si="4"/>
        <v>0</v>
      </c>
      <c r="G21" s="34">
        <f t="shared" si="4"/>
        <v>11505</v>
      </c>
      <c r="H21" s="34">
        <f t="shared" si="4"/>
        <v>19440</v>
      </c>
      <c r="I21" s="34">
        <f t="shared" si="4"/>
        <v>26094.5</v>
      </c>
      <c r="J21" s="34">
        <f t="shared" si="4"/>
        <v>8928.4</v>
      </c>
      <c r="K21" s="34">
        <f t="shared" si="4"/>
        <v>11248.1</v>
      </c>
      <c r="L21" s="34">
        <f t="shared" si="4"/>
        <v>0</v>
      </c>
      <c r="M21" s="34">
        <f t="shared" ref="M21" si="5">M25</f>
        <v>0</v>
      </c>
      <c r="N21" s="34">
        <f t="shared" si="4"/>
        <v>0</v>
      </c>
      <c r="O21" s="55"/>
      <c r="P21" s="56"/>
      <c r="Q21" s="13"/>
    </row>
    <row r="22" spans="1:17" ht="24" x14ac:dyDescent="0.2">
      <c r="A22" s="55"/>
      <c r="B22" s="56"/>
      <c r="C22" s="32" t="s">
        <v>19</v>
      </c>
      <c r="D22" s="55"/>
      <c r="E22" s="33">
        <f t="shared" ref="E22:N22" si="6">E26</f>
        <v>9442.7000000000007</v>
      </c>
      <c r="F22" s="34">
        <f t="shared" si="6"/>
        <v>0</v>
      </c>
      <c r="G22" s="34">
        <f t="shared" si="6"/>
        <v>1000</v>
      </c>
      <c r="H22" s="34">
        <f t="shared" si="6"/>
        <v>1600</v>
      </c>
      <c r="I22" s="34">
        <f t="shared" si="6"/>
        <v>3853</v>
      </c>
      <c r="J22" s="34">
        <f t="shared" si="6"/>
        <v>1286</v>
      </c>
      <c r="K22" s="34">
        <f t="shared" si="6"/>
        <v>1703.7</v>
      </c>
      <c r="L22" s="34">
        <f t="shared" si="6"/>
        <v>0</v>
      </c>
      <c r="M22" s="34">
        <f t="shared" ref="M22" si="7">M26</f>
        <v>0</v>
      </c>
      <c r="N22" s="34">
        <f t="shared" si="6"/>
        <v>0</v>
      </c>
      <c r="O22" s="55"/>
      <c r="P22" s="56"/>
      <c r="Q22" s="13"/>
    </row>
    <row r="23" spans="1:17" ht="24" x14ac:dyDescent="0.2">
      <c r="A23" s="73" t="s">
        <v>2</v>
      </c>
      <c r="B23" s="59" t="s">
        <v>87</v>
      </c>
      <c r="C23" s="14" t="s">
        <v>90</v>
      </c>
      <c r="D23" s="61" t="s">
        <v>138</v>
      </c>
      <c r="E23" s="15">
        <f>SUM(E24:E26)</f>
        <v>122786.3</v>
      </c>
      <c r="F23" s="20">
        <f>SUM(F24:F26)</f>
        <v>0</v>
      </c>
      <c r="G23" s="20">
        <f t="shared" ref="G23:N23" si="8">SUM(G24:G26)</f>
        <v>16000</v>
      </c>
      <c r="H23" s="20">
        <f t="shared" si="8"/>
        <v>31600</v>
      </c>
      <c r="I23" s="20">
        <f t="shared" si="8"/>
        <v>42800</v>
      </c>
      <c r="J23" s="20">
        <f t="shared" si="8"/>
        <v>14286</v>
      </c>
      <c r="K23" s="20">
        <f>SUM(K24:K26)</f>
        <v>18100.3</v>
      </c>
      <c r="L23" s="20">
        <f t="shared" si="8"/>
        <v>0</v>
      </c>
      <c r="M23" s="20">
        <f t="shared" ref="M23" si="9">SUM(M24:M26)</f>
        <v>0</v>
      </c>
      <c r="N23" s="20">
        <f t="shared" si="8"/>
        <v>0</v>
      </c>
      <c r="O23" s="59" t="s">
        <v>76</v>
      </c>
      <c r="P23" s="59" t="s">
        <v>91</v>
      </c>
      <c r="Q23" s="13"/>
    </row>
    <row r="24" spans="1:17" ht="24" x14ac:dyDescent="0.2">
      <c r="A24" s="73"/>
      <c r="B24" s="59"/>
      <c r="C24" s="14" t="s">
        <v>88</v>
      </c>
      <c r="D24" s="61"/>
      <c r="E24" s="15">
        <f t="shared" ref="E24:E26" si="10">SUM(F24:N24)</f>
        <v>36127.599999999999</v>
      </c>
      <c r="F24" s="20">
        <v>0</v>
      </c>
      <c r="G24" s="20">
        <v>3495</v>
      </c>
      <c r="H24" s="20">
        <v>10560</v>
      </c>
      <c r="I24" s="20">
        <v>12852.5</v>
      </c>
      <c r="J24" s="20">
        <v>4071.6</v>
      </c>
      <c r="K24" s="20">
        <f>5566-417.5</f>
        <v>5148.5</v>
      </c>
      <c r="L24" s="20">
        <v>0</v>
      </c>
      <c r="M24" s="20">
        <v>0</v>
      </c>
      <c r="N24" s="20">
        <v>0</v>
      </c>
      <c r="O24" s="59"/>
      <c r="P24" s="59"/>
      <c r="Q24" s="13"/>
    </row>
    <row r="25" spans="1:17" ht="24" x14ac:dyDescent="0.2">
      <c r="A25" s="73"/>
      <c r="B25" s="59"/>
      <c r="C25" s="14" t="s">
        <v>89</v>
      </c>
      <c r="D25" s="61"/>
      <c r="E25" s="15">
        <f t="shared" si="10"/>
        <v>77216</v>
      </c>
      <c r="F25" s="20">
        <v>0</v>
      </c>
      <c r="G25" s="20">
        <v>11505</v>
      </c>
      <c r="H25" s="20">
        <v>19440</v>
      </c>
      <c r="I25" s="20">
        <v>26094.5</v>
      </c>
      <c r="J25" s="20">
        <v>8928.4</v>
      </c>
      <c r="K25" s="20">
        <f>12160-911.9</f>
        <v>11248.1</v>
      </c>
      <c r="L25" s="20">
        <v>0</v>
      </c>
      <c r="M25" s="20">
        <v>0</v>
      </c>
      <c r="N25" s="20">
        <v>0</v>
      </c>
      <c r="O25" s="59"/>
      <c r="P25" s="59"/>
      <c r="Q25" s="13"/>
    </row>
    <row r="26" spans="1:17" ht="24" x14ac:dyDescent="0.2">
      <c r="A26" s="73"/>
      <c r="B26" s="59"/>
      <c r="C26" s="14" t="s">
        <v>19</v>
      </c>
      <c r="D26" s="61"/>
      <c r="E26" s="15">
        <f t="shared" si="10"/>
        <v>9442.7000000000007</v>
      </c>
      <c r="F26" s="20">
        <v>0</v>
      </c>
      <c r="G26" s="20">
        <v>1000</v>
      </c>
      <c r="H26" s="20">
        <v>1600</v>
      </c>
      <c r="I26" s="20">
        <v>3853</v>
      </c>
      <c r="J26" s="20">
        <v>1286</v>
      </c>
      <c r="K26" s="20">
        <f>1841.9-138.2</f>
        <v>1703.7</v>
      </c>
      <c r="L26" s="20">
        <v>0</v>
      </c>
      <c r="M26" s="20">
        <v>0</v>
      </c>
      <c r="N26" s="20">
        <v>0</v>
      </c>
      <c r="O26" s="59"/>
      <c r="P26" s="59"/>
      <c r="Q26" s="13"/>
    </row>
    <row r="27" spans="1:17" ht="24" x14ac:dyDescent="0.2">
      <c r="A27" s="74" t="s">
        <v>127</v>
      </c>
      <c r="B27" s="56" t="s">
        <v>146</v>
      </c>
      <c r="C27" s="32" t="s">
        <v>90</v>
      </c>
      <c r="D27" s="55"/>
      <c r="E27" s="33">
        <f>SUM(E28:E29)</f>
        <v>9807.4</v>
      </c>
      <c r="F27" s="33">
        <f t="shared" ref="F27:N27" si="11">SUM(F28:F29)</f>
        <v>0</v>
      </c>
      <c r="G27" s="33">
        <f t="shared" si="11"/>
        <v>0</v>
      </c>
      <c r="H27" s="33">
        <f t="shared" si="11"/>
        <v>0</v>
      </c>
      <c r="I27" s="33">
        <f t="shared" si="11"/>
        <v>0</v>
      </c>
      <c r="J27" s="33">
        <f t="shared" si="11"/>
        <v>1603.5</v>
      </c>
      <c r="K27" s="33">
        <f t="shared" si="11"/>
        <v>0</v>
      </c>
      <c r="L27" s="33">
        <f t="shared" si="11"/>
        <v>2217.6</v>
      </c>
      <c r="M27" s="33">
        <f t="shared" si="11"/>
        <v>4487.2</v>
      </c>
      <c r="N27" s="33">
        <f t="shared" si="11"/>
        <v>1499.1000000000001</v>
      </c>
      <c r="O27" s="55"/>
      <c r="P27" s="55"/>
      <c r="Q27" s="13"/>
    </row>
    <row r="28" spans="1:17" ht="24" x14ac:dyDescent="0.2">
      <c r="A28" s="74"/>
      <c r="B28" s="56"/>
      <c r="C28" s="32" t="s">
        <v>89</v>
      </c>
      <c r="D28" s="55"/>
      <c r="E28" s="33">
        <f t="shared" ref="E28" si="12">SUM(F28:N28)</f>
        <v>9018.4</v>
      </c>
      <c r="F28" s="36">
        <v>0</v>
      </c>
      <c r="G28" s="36">
        <v>0</v>
      </c>
      <c r="H28" s="36">
        <v>0</v>
      </c>
      <c r="I28" s="36">
        <v>0</v>
      </c>
      <c r="J28" s="36">
        <v>1459.2</v>
      </c>
      <c r="K28" s="36">
        <f>992.7-992.7</f>
        <v>0</v>
      </c>
      <c r="L28" s="36">
        <f>2068.7-31</f>
        <v>2037.6999999999998</v>
      </c>
      <c r="M28" s="36">
        <f>M31</f>
        <v>4127.3</v>
      </c>
      <c r="N28" s="36">
        <v>1394.2</v>
      </c>
      <c r="O28" s="55"/>
      <c r="P28" s="55"/>
      <c r="Q28" s="13"/>
    </row>
    <row r="29" spans="1:17" ht="24" x14ac:dyDescent="0.2">
      <c r="A29" s="74"/>
      <c r="B29" s="56"/>
      <c r="C29" s="32" t="s">
        <v>19</v>
      </c>
      <c r="D29" s="55"/>
      <c r="E29" s="33">
        <f>SUM(F29:N29)</f>
        <v>789</v>
      </c>
      <c r="F29" s="36">
        <v>0</v>
      </c>
      <c r="G29" s="36">
        <v>0</v>
      </c>
      <c r="H29" s="36">
        <v>0</v>
      </c>
      <c r="I29" s="36">
        <v>0</v>
      </c>
      <c r="J29" s="36">
        <v>144.30000000000001</v>
      </c>
      <c r="K29" s="36">
        <f>98.2-98.2</f>
        <v>0</v>
      </c>
      <c r="L29" s="36">
        <v>179.9</v>
      </c>
      <c r="M29" s="36">
        <f>M32</f>
        <v>359.9</v>
      </c>
      <c r="N29" s="36">
        <f>N32</f>
        <v>104.9</v>
      </c>
      <c r="O29" s="55"/>
      <c r="P29" s="55"/>
      <c r="Q29" s="13"/>
    </row>
    <row r="30" spans="1:17" ht="24" x14ac:dyDescent="0.2">
      <c r="A30" s="73" t="s">
        <v>3</v>
      </c>
      <c r="B30" s="59" t="s">
        <v>95</v>
      </c>
      <c r="C30" s="14" t="s">
        <v>90</v>
      </c>
      <c r="D30" s="61" t="s">
        <v>180</v>
      </c>
      <c r="E30" s="15">
        <f>SUM(E31:E32)</f>
        <v>9807.4</v>
      </c>
      <c r="F30" s="15">
        <f t="shared" ref="F30" si="13">SUM(F31:F32)</f>
        <v>0</v>
      </c>
      <c r="G30" s="15">
        <f t="shared" ref="G30" si="14">SUM(G31:G32)</f>
        <v>0</v>
      </c>
      <c r="H30" s="15">
        <f t="shared" ref="H30" si="15">SUM(H31:H32)</f>
        <v>0</v>
      </c>
      <c r="I30" s="15">
        <f t="shared" ref="I30" si="16">SUM(I31:I32)</f>
        <v>0</v>
      </c>
      <c r="J30" s="15">
        <f t="shared" ref="J30" si="17">SUM(J31:J32)</f>
        <v>1603.5</v>
      </c>
      <c r="K30" s="15">
        <f t="shared" ref="K30" si="18">SUM(K31:K32)</f>
        <v>0</v>
      </c>
      <c r="L30" s="15">
        <f t="shared" ref="L30" si="19">SUM(L31:L32)</f>
        <v>2217.6</v>
      </c>
      <c r="M30" s="15">
        <f t="shared" ref="M30" si="20">SUM(M31:M32)</f>
        <v>4487.2</v>
      </c>
      <c r="N30" s="15">
        <f t="shared" ref="N30" si="21">SUM(N31:N32)</f>
        <v>1499.1000000000001</v>
      </c>
      <c r="O30" s="61" t="s">
        <v>76</v>
      </c>
      <c r="P30" s="59" t="s">
        <v>54</v>
      </c>
      <c r="Q30" s="23" t="s">
        <v>192</v>
      </c>
    </row>
    <row r="31" spans="1:17" ht="24" x14ac:dyDescent="0.2">
      <c r="A31" s="73"/>
      <c r="B31" s="59"/>
      <c r="C31" s="14" t="s">
        <v>89</v>
      </c>
      <c r="D31" s="61"/>
      <c r="E31" s="15">
        <f t="shared" ref="E31" si="22">SUM(F31:N31)</f>
        <v>9018.4</v>
      </c>
      <c r="F31" s="16">
        <v>0</v>
      </c>
      <c r="G31" s="16">
        <v>0</v>
      </c>
      <c r="H31" s="16">
        <v>0</v>
      </c>
      <c r="I31" s="16">
        <v>0</v>
      </c>
      <c r="J31" s="16">
        <v>1459.2</v>
      </c>
      <c r="K31" s="16">
        <f>992.7-992.7</f>
        <v>0</v>
      </c>
      <c r="L31" s="16">
        <f>2068.7-31</f>
        <v>2037.6999999999998</v>
      </c>
      <c r="M31" s="16">
        <v>4127.3</v>
      </c>
      <c r="N31" s="16">
        <v>1394.2</v>
      </c>
      <c r="O31" s="61"/>
      <c r="P31" s="59"/>
      <c r="Q31" s="13"/>
    </row>
    <row r="32" spans="1:17" ht="24" x14ac:dyDescent="0.2">
      <c r="A32" s="73"/>
      <c r="B32" s="59"/>
      <c r="C32" s="14" t="s">
        <v>19</v>
      </c>
      <c r="D32" s="61"/>
      <c r="E32" s="15">
        <f>SUM(F32:N32)</f>
        <v>789</v>
      </c>
      <c r="F32" s="16">
        <v>0</v>
      </c>
      <c r="G32" s="16">
        <v>0</v>
      </c>
      <c r="H32" s="16">
        <v>0</v>
      </c>
      <c r="I32" s="16">
        <v>0</v>
      </c>
      <c r="J32" s="16">
        <v>144.30000000000001</v>
      </c>
      <c r="K32" s="16">
        <f>98.2-98.2</f>
        <v>0</v>
      </c>
      <c r="L32" s="16">
        <v>179.9</v>
      </c>
      <c r="M32" s="16">
        <v>359.9</v>
      </c>
      <c r="N32" s="16">
        <v>104.9</v>
      </c>
      <c r="O32" s="61"/>
      <c r="P32" s="59"/>
      <c r="Q32" s="13"/>
    </row>
    <row r="33" spans="1:21" ht="24" x14ac:dyDescent="0.2">
      <c r="A33" s="28"/>
      <c r="B33" s="38" t="s">
        <v>124</v>
      </c>
      <c r="C33" s="37"/>
      <c r="D33" s="37"/>
      <c r="E33" s="24">
        <f>SUM(E34:E36)</f>
        <v>132593.70000000001</v>
      </c>
      <c r="F33" s="24">
        <f t="shared" ref="F33:N33" si="23">SUM(F34:F36)</f>
        <v>0</v>
      </c>
      <c r="G33" s="24">
        <f t="shared" si="23"/>
        <v>16000</v>
      </c>
      <c r="H33" s="24">
        <f t="shared" si="23"/>
        <v>31600</v>
      </c>
      <c r="I33" s="24">
        <f t="shared" si="23"/>
        <v>42800</v>
      </c>
      <c r="J33" s="24">
        <f t="shared" si="23"/>
        <v>15889.5</v>
      </c>
      <c r="K33" s="24">
        <f t="shared" si="23"/>
        <v>18100.3</v>
      </c>
      <c r="L33" s="24">
        <f t="shared" si="23"/>
        <v>2217.6</v>
      </c>
      <c r="M33" s="24">
        <f t="shared" si="23"/>
        <v>4487.2</v>
      </c>
      <c r="N33" s="24">
        <f t="shared" si="23"/>
        <v>1499.1000000000001</v>
      </c>
      <c r="O33" s="63"/>
      <c r="P33" s="63"/>
      <c r="Q33" s="13"/>
    </row>
    <row r="34" spans="1:21" x14ac:dyDescent="0.2">
      <c r="A34" s="28"/>
      <c r="B34" s="38" t="s">
        <v>88</v>
      </c>
      <c r="C34" s="37"/>
      <c r="D34" s="37"/>
      <c r="E34" s="24">
        <f>SUM(F34:N34)</f>
        <v>36127.599999999999</v>
      </c>
      <c r="F34" s="24">
        <f>F20</f>
        <v>0</v>
      </c>
      <c r="G34" s="24">
        <f t="shared" ref="G34:N34" si="24">G20</f>
        <v>3495</v>
      </c>
      <c r="H34" s="24">
        <f t="shared" si="24"/>
        <v>10560</v>
      </c>
      <c r="I34" s="24">
        <f t="shared" si="24"/>
        <v>12852.5</v>
      </c>
      <c r="J34" s="24">
        <f t="shared" si="24"/>
        <v>4071.6</v>
      </c>
      <c r="K34" s="24">
        <f t="shared" si="24"/>
        <v>5148.5</v>
      </c>
      <c r="L34" s="24">
        <f t="shared" si="24"/>
        <v>0</v>
      </c>
      <c r="M34" s="24">
        <f t="shared" si="24"/>
        <v>0</v>
      </c>
      <c r="N34" s="24">
        <f t="shared" si="24"/>
        <v>0</v>
      </c>
      <c r="O34" s="63"/>
      <c r="P34" s="63"/>
      <c r="Q34" s="13"/>
    </row>
    <row r="35" spans="1:21" x14ac:dyDescent="0.2">
      <c r="A35" s="28"/>
      <c r="B35" s="38" t="s">
        <v>89</v>
      </c>
      <c r="C35" s="37"/>
      <c r="D35" s="37"/>
      <c r="E35" s="24">
        <f t="shared" ref="E35:E36" si="25">SUM(F35:N35)</f>
        <v>86234.400000000009</v>
      </c>
      <c r="F35" s="24">
        <f>F21+F28</f>
        <v>0</v>
      </c>
      <c r="G35" s="24">
        <f t="shared" ref="G35:N35" si="26">G21+G28</f>
        <v>11505</v>
      </c>
      <c r="H35" s="24">
        <f t="shared" si="26"/>
        <v>19440</v>
      </c>
      <c r="I35" s="24">
        <f t="shared" si="26"/>
        <v>26094.5</v>
      </c>
      <c r="J35" s="24">
        <f t="shared" si="26"/>
        <v>10387.6</v>
      </c>
      <c r="K35" s="24">
        <f t="shared" si="26"/>
        <v>11248.1</v>
      </c>
      <c r="L35" s="24">
        <f t="shared" si="26"/>
        <v>2037.6999999999998</v>
      </c>
      <c r="M35" s="24">
        <f t="shared" si="26"/>
        <v>4127.3</v>
      </c>
      <c r="N35" s="24">
        <f t="shared" si="26"/>
        <v>1394.2</v>
      </c>
      <c r="O35" s="63"/>
      <c r="P35" s="63"/>
      <c r="Q35" s="13"/>
    </row>
    <row r="36" spans="1:21" x14ac:dyDescent="0.2">
      <c r="A36" s="28"/>
      <c r="B36" s="38" t="s">
        <v>19</v>
      </c>
      <c r="C36" s="37"/>
      <c r="D36" s="37"/>
      <c r="E36" s="24">
        <f t="shared" si="25"/>
        <v>10231.699999999999</v>
      </c>
      <c r="F36" s="24">
        <f>F22+F29</f>
        <v>0</v>
      </c>
      <c r="G36" s="24">
        <f t="shared" ref="G36:N36" si="27">G22+G29</f>
        <v>1000</v>
      </c>
      <c r="H36" s="24">
        <f t="shared" si="27"/>
        <v>1600</v>
      </c>
      <c r="I36" s="24">
        <f t="shared" si="27"/>
        <v>3853</v>
      </c>
      <c r="J36" s="24">
        <f t="shared" si="27"/>
        <v>1430.3</v>
      </c>
      <c r="K36" s="24">
        <f t="shared" si="27"/>
        <v>1703.7</v>
      </c>
      <c r="L36" s="24">
        <f t="shared" si="27"/>
        <v>179.9</v>
      </c>
      <c r="M36" s="24">
        <f t="shared" si="27"/>
        <v>359.9</v>
      </c>
      <c r="N36" s="24">
        <f t="shared" si="27"/>
        <v>104.9</v>
      </c>
      <c r="O36" s="63"/>
      <c r="P36" s="63"/>
      <c r="Q36" s="13"/>
    </row>
    <row r="37" spans="1:21" x14ac:dyDescent="0.2">
      <c r="A37" s="54" t="s">
        <v>92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13"/>
    </row>
    <row r="38" spans="1:21" ht="32.25" customHeight="1" x14ac:dyDescent="0.2">
      <c r="A38" s="55" t="s">
        <v>128</v>
      </c>
      <c r="B38" s="56" t="s">
        <v>93</v>
      </c>
      <c r="C38" s="32" t="s">
        <v>90</v>
      </c>
      <c r="D38" s="55"/>
      <c r="E38" s="33">
        <f>SUM(F38:N38)</f>
        <v>164966.59999999998</v>
      </c>
      <c r="F38" s="33">
        <f>SUM(F39:F40)</f>
        <v>7570.4000000000005</v>
      </c>
      <c r="G38" s="33">
        <f t="shared" ref="G38:N38" si="28">SUM(G39:G40)</f>
        <v>8650.7999999999993</v>
      </c>
      <c r="H38" s="33">
        <f t="shared" si="28"/>
        <v>14333.300000000001</v>
      </c>
      <c r="I38" s="33">
        <f t="shared" si="28"/>
        <v>6091.1</v>
      </c>
      <c r="J38" s="33">
        <f t="shared" si="28"/>
        <v>26192.3</v>
      </c>
      <c r="K38" s="33">
        <f t="shared" si="28"/>
        <v>21016</v>
      </c>
      <c r="L38" s="33">
        <f t="shared" si="28"/>
        <v>26313.7</v>
      </c>
      <c r="M38" s="33">
        <f t="shared" ref="M38" si="29">SUM(M39:M40)</f>
        <v>23783.7</v>
      </c>
      <c r="N38" s="33">
        <f t="shared" si="28"/>
        <v>31015.300000000003</v>
      </c>
      <c r="O38" s="55"/>
      <c r="P38" s="55"/>
      <c r="Q38" s="13"/>
    </row>
    <row r="39" spans="1:21" ht="32.25" customHeight="1" x14ac:dyDescent="0.2">
      <c r="A39" s="55"/>
      <c r="B39" s="56"/>
      <c r="C39" s="32" t="s">
        <v>89</v>
      </c>
      <c r="D39" s="55"/>
      <c r="E39" s="33">
        <f>SUM(F39:N39)</f>
        <v>84623.599999999991</v>
      </c>
      <c r="F39" s="34">
        <f>F42+F46</f>
        <v>0</v>
      </c>
      <c r="G39" s="34">
        <f t="shared" ref="G39:N39" si="30">G42+G46</f>
        <v>2650</v>
      </c>
      <c r="H39" s="34">
        <f t="shared" si="30"/>
        <v>3086.5</v>
      </c>
      <c r="I39" s="34">
        <f t="shared" si="30"/>
        <v>630</v>
      </c>
      <c r="J39" s="34">
        <f t="shared" si="30"/>
        <v>19178</v>
      </c>
      <c r="K39" s="34">
        <f t="shared" si="30"/>
        <v>12000</v>
      </c>
      <c r="L39" s="34">
        <f t="shared" si="30"/>
        <v>14151.2</v>
      </c>
      <c r="M39" s="34">
        <f t="shared" si="30"/>
        <v>14061.2</v>
      </c>
      <c r="N39" s="34">
        <f t="shared" si="30"/>
        <v>18866.7</v>
      </c>
      <c r="O39" s="55"/>
      <c r="P39" s="55"/>
      <c r="Q39" s="13"/>
    </row>
    <row r="40" spans="1:21" ht="32.25" customHeight="1" x14ac:dyDescent="0.2">
      <c r="A40" s="55"/>
      <c r="B40" s="56"/>
      <c r="C40" s="32" t="s">
        <v>19</v>
      </c>
      <c r="D40" s="55"/>
      <c r="E40" s="33">
        <f>SUM(F40:N40)</f>
        <v>80343</v>
      </c>
      <c r="F40" s="34">
        <f>F41+F43+F44+F45</f>
        <v>7570.4000000000005</v>
      </c>
      <c r="G40" s="34">
        <f t="shared" ref="G40:N40" si="31">G41+G43+G44+G45</f>
        <v>6000.8</v>
      </c>
      <c r="H40" s="34">
        <f t="shared" si="31"/>
        <v>11246.800000000001</v>
      </c>
      <c r="I40" s="34">
        <f t="shared" si="31"/>
        <v>5461.1</v>
      </c>
      <c r="J40" s="34">
        <f t="shared" si="31"/>
        <v>7014.2999999999993</v>
      </c>
      <c r="K40" s="34">
        <f t="shared" si="31"/>
        <v>9016</v>
      </c>
      <c r="L40" s="34">
        <f t="shared" si="31"/>
        <v>12162.5</v>
      </c>
      <c r="M40" s="34">
        <f>M41+M43+M44+M45</f>
        <v>9722.5</v>
      </c>
      <c r="N40" s="34">
        <f t="shared" si="31"/>
        <v>12148.6</v>
      </c>
      <c r="O40" s="55"/>
      <c r="P40" s="55"/>
      <c r="Q40" s="13"/>
    </row>
    <row r="41" spans="1:21" ht="24" x14ac:dyDescent="0.2">
      <c r="A41" s="61" t="s">
        <v>4</v>
      </c>
      <c r="B41" s="59" t="s">
        <v>51</v>
      </c>
      <c r="C41" s="14" t="s">
        <v>18</v>
      </c>
      <c r="D41" s="61" t="s">
        <v>94</v>
      </c>
      <c r="E41" s="15">
        <f>SUM(F41:N41)</f>
        <v>2025.7000000000003</v>
      </c>
      <c r="F41" s="16">
        <v>1154.2</v>
      </c>
      <c r="G41" s="16">
        <f>300-41.9</f>
        <v>258.10000000000002</v>
      </c>
      <c r="H41" s="16">
        <v>280</v>
      </c>
      <c r="I41" s="16">
        <v>70</v>
      </c>
      <c r="J41" s="16">
        <f>221.1+42.3</f>
        <v>263.39999999999998</v>
      </c>
      <c r="K41" s="16">
        <v>0</v>
      </c>
      <c r="L41" s="16">
        <v>0</v>
      </c>
      <c r="M41" s="16">
        <v>0</v>
      </c>
      <c r="N41" s="16">
        <v>0</v>
      </c>
      <c r="O41" s="59" t="s">
        <v>76</v>
      </c>
      <c r="P41" s="59" t="s">
        <v>52</v>
      </c>
      <c r="Q41" s="13"/>
      <c r="R41" s="65"/>
      <c r="S41" s="65"/>
      <c r="T41" s="65"/>
      <c r="U41" s="65"/>
    </row>
    <row r="42" spans="1:21" ht="24" x14ac:dyDescent="0.2">
      <c r="A42" s="61"/>
      <c r="B42" s="59"/>
      <c r="C42" s="14" t="s">
        <v>89</v>
      </c>
      <c r="D42" s="61"/>
      <c r="E42" s="15">
        <f t="shared" ref="E42:E46" si="32">SUM(F42:N42)</f>
        <v>5635.1</v>
      </c>
      <c r="F42" s="16">
        <v>0</v>
      </c>
      <c r="G42" s="16">
        <v>0</v>
      </c>
      <c r="H42" s="16">
        <v>0</v>
      </c>
      <c r="I42" s="16">
        <v>630</v>
      </c>
      <c r="J42" s="16">
        <f>4200+805.1</f>
        <v>5005.1000000000004</v>
      </c>
      <c r="K42" s="16">
        <v>0</v>
      </c>
      <c r="L42" s="16">
        <v>0</v>
      </c>
      <c r="M42" s="16">
        <v>0</v>
      </c>
      <c r="N42" s="16">
        <v>0</v>
      </c>
      <c r="O42" s="59"/>
      <c r="P42" s="59"/>
      <c r="Q42" s="13"/>
      <c r="R42" s="10"/>
      <c r="S42" s="10"/>
      <c r="T42" s="10"/>
      <c r="U42" s="10"/>
    </row>
    <row r="43" spans="1:21" ht="36" x14ac:dyDescent="0.2">
      <c r="A43" s="14" t="s">
        <v>5</v>
      </c>
      <c r="B43" s="19" t="s">
        <v>55</v>
      </c>
      <c r="C43" s="14" t="s">
        <v>18</v>
      </c>
      <c r="D43" s="14" t="s">
        <v>181</v>
      </c>
      <c r="E43" s="15">
        <f t="shared" si="32"/>
        <v>4490</v>
      </c>
      <c r="F43" s="16">
        <v>623.1</v>
      </c>
      <c r="G43" s="16">
        <v>415.9</v>
      </c>
      <c r="H43" s="16">
        <f>256+475+1037</f>
        <v>1768</v>
      </c>
      <c r="I43" s="16">
        <v>100</v>
      </c>
      <c r="J43" s="16">
        <v>0</v>
      </c>
      <c r="K43" s="16">
        <f>300+339.5+560.5-43</f>
        <v>1157</v>
      </c>
      <c r="L43" s="16">
        <f>60-60</f>
        <v>0</v>
      </c>
      <c r="M43" s="16">
        <f>300+26</f>
        <v>326</v>
      </c>
      <c r="N43" s="16">
        <v>100</v>
      </c>
      <c r="O43" s="17" t="s">
        <v>76</v>
      </c>
      <c r="P43" s="17" t="s">
        <v>53</v>
      </c>
      <c r="Q43" s="23">
        <v>1540225020</v>
      </c>
      <c r="R43" s="65"/>
      <c r="S43" s="65"/>
      <c r="T43" s="65"/>
      <c r="U43" s="65"/>
    </row>
    <row r="44" spans="1:21" ht="72" x14ac:dyDescent="0.2">
      <c r="A44" s="14" t="s">
        <v>6</v>
      </c>
      <c r="B44" s="19" t="s">
        <v>56</v>
      </c>
      <c r="C44" s="14" t="s">
        <v>18</v>
      </c>
      <c r="D44" s="14" t="s">
        <v>170</v>
      </c>
      <c r="E44" s="15">
        <f t="shared" si="32"/>
        <v>32435.700000000004</v>
      </c>
      <c r="F44" s="16">
        <v>4076.3</v>
      </c>
      <c r="G44" s="16">
        <f>2674.4</f>
        <v>2674.4</v>
      </c>
      <c r="H44" s="16">
        <f>2910.3+298+487.4-7.5</f>
        <v>3688.2000000000003</v>
      </c>
      <c r="I44" s="16">
        <f>2917+590</f>
        <v>3507</v>
      </c>
      <c r="J44" s="16">
        <f>3604+39.9-10.7-144.3+9.7</f>
        <v>3498.6</v>
      </c>
      <c r="K44" s="16">
        <f>3701.8+95+33.9+235</f>
        <v>4065.7000000000003</v>
      </c>
      <c r="L44" s="16">
        <f>3849.9-95-2.8+150+147.4</f>
        <v>4049.5</v>
      </c>
      <c r="M44" s="16">
        <f>3003.9+400+123+30+150+5.1+685-808.6</f>
        <v>3588.4</v>
      </c>
      <c r="N44" s="16">
        <f>4204.1-813.2-69.8-75+41.5</f>
        <v>3287.6000000000004</v>
      </c>
      <c r="O44" s="17" t="s">
        <v>76</v>
      </c>
      <c r="P44" s="17" t="s">
        <v>54</v>
      </c>
      <c r="Q44" s="23">
        <v>1540225030</v>
      </c>
      <c r="R44" s="10"/>
      <c r="S44" s="10"/>
      <c r="T44" s="10"/>
      <c r="U44" s="10"/>
    </row>
    <row r="45" spans="1:21" ht="36" customHeight="1" x14ac:dyDescent="0.2">
      <c r="A45" s="61" t="s">
        <v>96</v>
      </c>
      <c r="B45" s="59" t="s">
        <v>78</v>
      </c>
      <c r="C45" s="14" t="s">
        <v>18</v>
      </c>
      <c r="D45" s="61" t="s">
        <v>170</v>
      </c>
      <c r="E45" s="15">
        <f t="shared" si="32"/>
        <v>41391.599999999999</v>
      </c>
      <c r="F45" s="16">
        <v>1716.8</v>
      </c>
      <c r="G45" s="16">
        <f>2264.5+312.6+41.9-60-57+150.4</f>
        <v>2652.4</v>
      </c>
      <c r="H45" s="16">
        <f>1339.3+654.8+343+3500-122.6-21-182.9</f>
        <v>5510.6</v>
      </c>
      <c r="I45" s="16">
        <f>1419.4+237.9+70+311.5-70-184.7</f>
        <v>1784.1000000000001</v>
      </c>
      <c r="J45" s="16">
        <f>2050.7+314.3+42.1+578.9-42.3-20-39.9-78+24.9+304.4-11.4+128.6</f>
        <v>3252.2999999999997</v>
      </c>
      <c r="K45" s="16">
        <f>2250+60+247.8+42.4+631.6+284.3+125+130+22.2</f>
        <v>3793.3</v>
      </c>
      <c r="L45" s="16">
        <f>2230.3+369.7+450+578.9+274+3836+121+83+50+0.1+120</f>
        <v>8113</v>
      </c>
      <c r="M45" s="16">
        <v>5808.1</v>
      </c>
      <c r="N45" s="16">
        <f>8403.7+24.8+32.5+300</f>
        <v>8761</v>
      </c>
      <c r="O45" s="59" t="s">
        <v>76</v>
      </c>
      <c r="P45" s="59" t="s">
        <v>79</v>
      </c>
      <c r="Q45" s="52">
        <v>1540225010</v>
      </c>
      <c r="R45" s="10"/>
      <c r="S45" s="10"/>
      <c r="T45" s="10"/>
      <c r="U45" s="10"/>
    </row>
    <row r="46" spans="1:21" ht="45.75" customHeight="1" x14ac:dyDescent="0.2">
      <c r="A46" s="61"/>
      <c r="B46" s="59"/>
      <c r="C46" s="14" t="s">
        <v>89</v>
      </c>
      <c r="D46" s="61"/>
      <c r="E46" s="15">
        <f t="shared" si="32"/>
        <v>78988.5</v>
      </c>
      <c r="F46" s="16">
        <v>0</v>
      </c>
      <c r="G46" s="16">
        <v>2650</v>
      </c>
      <c r="H46" s="16">
        <v>3086.5</v>
      </c>
      <c r="I46" s="16">
        <v>0</v>
      </c>
      <c r="J46" s="16">
        <f>3178+11000-805.1+800</f>
        <v>14172.9</v>
      </c>
      <c r="K46" s="16">
        <v>12000</v>
      </c>
      <c r="L46" s="16">
        <f>11000+3151.2</f>
        <v>14151.2</v>
      </c>
      <c r="M46" s="16">
        <f>11000+3061.2</f>
        <v>14061.2</v>
      </c>
      <c r="N46" s="16">
        <f>24000-5133.3</f>
        <v>18866.7</v>
      </c>
      <c r="O46" s="59"/>
      <c r="P46" s="59"/>
      <c r="Q46" s="23" t="s">
        <v>193</v>
      </c>
      <c r="R46" s="10"/>
      <c r="S46" s="10"/>
      <c r="T46" s="10"/>
      <c r="U46" s="10"/>
    </row>
    <row r="47" spans="1:21" ht="24" x14ac:dyDescent="0.2">
      <c r="A47" s="55" t="s">
        <v>129</v>
      </c>
      <c r="B47" s="56" t="s">
        <v>161</v>
      </c>
      <c r="C47" s="32" t="s">
        <v>90</v>
      </c>
      <c r="D47" s="55"/>
      <c r="E47" s="33">
        <f t="shared" ref="E47:E48" si="33">SUM(F47:N47)</f>
        <v>155036.29209999999</v>
      </c>
      <c r="F47" s="33">
        <f>SUM(F48:F49)</f>
        <v>20120.600000000002</v>
      </c>
      <c r="G47" s="33">
        <f t="shared" ref="G47" si="34">SUM(G48:G49)</f>
        <v>31963.599999999999</v>
      </c>
      <c r="H47" s="33">
        <f t="shared" ref="H47" si="35">SUM(H48:H49)</f>
        <v>15316.8</v>
      </c>
      <c r="I47" s="33">
        <f t="shared" ref="I47" si="36">SUM(I48:I49)</f>
        <v>15297.7</v>
      </c>
      <c r="J47" s="33">
        <f t="shared" ref="J47" si="37">SUM(J48:J49)</f>
        <v>4822.7999999999993</v>
      </c>
      <c r="K47" s="33">
        <f t="shared" ref="K47" si="38">SUM(K48:K49)</f>
        <v>9378</v>
      </c>
      <c r="L47" s="33">
        <f t="shared" ref="L47" si="39">SUM(L48:L49)</f>
        <v>6776.9</v>
      </c>
      <c r="M47" s="33">
        <f t="shared" ref="M47:N47" si="40">SUM(M48:M49)</f>
        <v>17755.8</v>
      </c>
      <c r="N47" s="33">
        <f t="shared" si="40"/>
        <v>33604.092100000002</v>
      </c>
      <c r="O47" s="55"/>
      <c r="P47" s="66"/>
      <c r="Q47" s="13"/>
      <c r="R47" s="10"/>
      <c r="S47" s="10"/>
      <c r="T47" s="10"/>
      <c r="U47" s="10"/>
    </row>
    <row r="48" spans="1:21" ht="24" x14ac:dyDescent="0.2">
      <c r="A48" s="55"/>
      <c r="B48" s="56"/>
      <c r="C48" s="32" t="s">
        <v>89</v>
      </c>
      <c r="D48" s="55"/>
      <c r="E48" s="33">
        <f t="shared" si="33"/>
        <v>13797.3</v>
      </c>
      <c r="F48" s="34">
        <f>F55+F57+F59</f>
        <v>0</v>
      </c>
      <c r="G48" s="34">
        <f t="shared" ref="G48:L48" si="41">G55+G57+G59</f>
        <v>540</v>
      </c>
      <c r="H48" s="34">
        <f t="shared" si="41"/>
        <v>0</v>
      </c>
      <c r="I48" s="34">
        <f t="shared" si="41"/>
        <v>7069</v>
      </c>
      <c r="J48" s="34">
        <f t="shared" si="41"/>
        <v>0</v>
      </c>
      <c r="K48" s="34">
        <f t="shared" si="41"/>
        <v>3164.1</v>
      </c>
      <c r="L48" s="34">
        <f t="shared" si="41"/>
        <v>0</v>
      </c>
      <c r="M48" s="34">
        <f t="shared" ref="M48" si="42">M55+M57+M59</f>
        <v>0</v>
      </c>
      <c r="N48" s="34">
        <f>N59</f>
        <v>3024.2</v>
      </c>
      <c r="O48" s="55"/>
      <c r="P48" s="55"/>
      <c r="Q48" s="13"/>
      <c r="R48" s="10"/>
      <c r="S48" s="10"/>
      <c r="T48" s="10"/>
      <c r="U48" s="10"/>
    </row>
    <row r="49" spans="1:21" ht="24" x14ac:dyDescent="0.2">
      <c r="A49" s="55"/>
      <c r="B49" s="56"/>
      <c r="C49" s="32" t="s">
        <v>19</v>
      </c>
      <c r="D49" s="55"/>
      <c r="E49" s="33">
        <f>E50+E51+E52+E53+E54+E56+E58+E60+E61</f>
        <v>141238.9921</v>
      </c>
      <c r="F49" s="34">
        <f t="shared" ref="F49:L49" si="43">F50+F51+F52+F53+F54+F56+F58+F60</f>
        <v>20120.600000000002</v>
      </c>
      <c r="G49" s="34">
        <f t="shared" si="43"/>
        <v>31423.599999999999</v>
      </c>
      <c r="H49" s="34">
        <f t="shared" si="43"/>
        <v>15316.8</v>
      </c>
      <c r="I49" s="34">
        <f t="shared" si="43"/>
        <v>8228.7000000000007</v>
      </c>
      <c r="J49" s="34">
        <f t="shared" si="43"/>
        <v>4822.7999999999993</v>
      </c>
      <c r="K49" s="34">
        <f t="shared" si="43"/>
        <v>6213.9</v>
      </c>
      <c r="L49" s="34">
        <f t="shared" si="43"/>
        <v>6776.9</v>
      </c>
      <c r="M49" s="34">
        <f>M58+M60</f>
        <v>17755.8</v>
      </c>
      <c r="N49" s="34">
        <f>N50+N51+N52+N53+N54+N56+N58+N60+N61</f>
        <v>30579.892100000001</v>
      </c>
      <c r="O49" s="55"/>
      <c r="P49" s="55"/>
      <c r="Q49" s="13"/>
      <c r="R49" s="10"/>
      <c r="S49" s="10"/>
      <c r="T49" s="10"/>
      <c r="U49" s="10"/>
    </row>
    <row r="50" spans="1:21" ht="111.75" customHeight="1" x14ac:dyDescent="0.2">
      <c r="A50" s="18" t="s">
        <v>7</v>
      </c>
      <c r="B50" s="19" t="s">
        <v>111</v>
      </c>
      <c r="C50" s="14" t="s">
        <v>18</v>
      </c>
      <c r="D50" s="14" t="s">
        <v>134</v>
      </c>
      <c r="E50" s="15">
        <f>SUM(F50:N50)</f>
        <v>48357.2</v>
      </c>
      <c r="F50" s="16">
        <v>18080.7</v>
      </c>
      <c r="G50" s="16">
        <f>100+29974+5+100+97.5</f>
        <v>30276.5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7" t="s">
        <v>76</v>
      </c>
      <c r="P50" s="17" t="s">
        <v>54</v>
      </c>
      <c r="Q50" s="13"/>
      <c r="R50" s="10"/>
      <c r="S50" s="10"/>
      <c r="T50" s="10"/>
      <c r="U50" s="10"/>
    </row>
    <row r="51" spans="1:21" ht="72" x14ac:dyDescent="0.2">
      <c r="A51" s="18" t="s">
        <v>8</v>
      </c>
      <c r="B51" s="19" t="s">
        <v>112</v>
      </c>
      <c r="C51" s="14" t="s">
        <v>18</v>
      </c>
      <c r="D51" s="14" t="s">
        <v>134</v>
      </c>
      <c r="E51" s="15">
        <f t="shared" ref="E51:E60" si="44">SUM(F51:N51)</f>
        <v>2863.5</v>
      </c>
      <c r="F51" s="16">
        <v>1963.9</v>
      </c>
      <c r="G51" s="16">
        <v>899.6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7" t="s">
        <v>76</v>
      </c>
      <c r="P51" s="17" t="s">
        <v>54</v>
      </c>
      <c r="Q51" s="13"/>
      <c r="R51" s="10"/>
      <c r="S51" s="10"/>
      <c r="T51" s="10"/>
      <c r="U51" s="10"/>
    </row>
    <row r="52" spans="1:21" ht="72" x14ac:dyDescent="0.2">
      <c r="A52" s="18" t="s">
        <v>16</v>
      </c>
      <c r="B52" s="19" t="s">
        <v>113</v>
      </c>
      <c r="C52" s="14" t="s">
        <v>18</v>
      </c>
      <c r="D52" s="14">
        <v>2017</v>
      </c>
      <c r="E52" s="15">
        <f t="shared" si="44"/>
        <v>39</v>
      </c>
      <c r="F52" s="16">
        <v>39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7" t="s">
        <v>76</v>
      </c>
      <c r="P52" s="17" t="s">
        <v>54</v>
      </c>
      <c r="Q52" s="13"/>
      <c r="R52" s="10"/>
      <c r="S52" s="10"/>
      <c r="T52" s="10"/>
      <c r="U52" s="10"/>
    </row>
    <row r="53" spans="1:21" ht="72" x14ac:dyDescent="0.2">
      <c r="A53" s="18" t="s">
        <v>69</v>
      </c>
      <c r="B53" s="19" t="s">
        <v>114</v>
      </c>
      <c r="C53" s="14" t="s">
        <v>18</v>
      </c>
      <c r="D53" s="14">
        <v>2017</v>
      </c>
      <c r="E53" s="15">
        <f t="shared" si="44"/>
        <v>37</v>
      </c>
      <c r="F53" s="16">
        <v>37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7" t="s">
        <v>76</v>
      </c>
      <c r="P53" s="17" t="s">
        <v>54</v>
      </c>
      <c r="Q53" s="13"/>
      <c r="R53" s="10"/>
      <c r="S53" s="10"/>
      <c r="T53" s="10"/>
      <c r="U53" s="10"/>
    </row>
    <row r="54" spans="1:21" ht="24" x14ac:dyDescent="0.2">
      <c r="A54" s="62" t="s">
        <v>130</v>
      </c>
      <c r="B54" s="59" t="s">
        <v>115</v>
      </c>
      <c r="C54" s="14" t="s">
        <v>18</v>
      </c>
      <c r="D54" s="14">
        <v>2018</v>
      </c>
      <c r="E54" s="15">
        <f t="shared" si="44"/>
        <v>30</v>
      </c>
      <c r="F54" s="16">
        <v>0</v>
      </c>
      <c r="G54" s="16">
        <v>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59" t="s">
        <v>76</v>
      </c>
      <c r="P54" s="59" t="s">
        <v>54</v>
      </c>
      <c r="Q54" s="13"/>
      <c r="R54" s="10"/>
      <c r="S54" s="10"/>
      <c r="T54" s="10"/>
      <c r="U54" s="10"/>
    </row>
    <row r="55" spans="1:21" ht="24" x14ac:dyDescent="0.2">
      <c r="A55" s="62"/>
      <c r="B55" s="59"/>
      <c r="C55" s="14" t="s">
        <v>89</v>
      </c>
      <c r="D55" s="14">
        <v>2018</v>
      </c>
      <c r="E55" s="15">
        <f t="shared" si="44"/>
        <v>270</v>
      </c>
      <c r="F55" s="16">
        <v>0</v>
      </c>
      <c r="G55" s="16">
        <v>270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59"/>
      <c r="P55" s="59"/>
      <c r="Q55" s="13"/>
      <c r="R55" s="10"/>
      <c r="S55" s="10"/>
      <c r="T55" s="10"/>
      <c r="U55" s="10"/>
    </row>
    <row r="56" spans="1:21" ht="24" x14ac:dyDescent="0.2">
      <c r="A56" s="62" t="s">
        <v>131</v>
      </c>
      <c r="B56" s="59" t="s">
        <v>77</v>
      </c>
      <c r="C56" s="14" t="s">
        <v>18</v>
      </c>
      <c r="D56" s="14">
        <v>2018</v>
      </c>
      <c r="E56" s="15">
        <f t="shared" si="44"/>
        <v>30</v>
      </c>
      <c r="F56" s="16">
        <v>0</v>
      </c>
      <c r="G56" s="16">
        <v>30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59" t="s">
        <v>76</v>
      </c>
      <c r="P56" s="59" t="s">
        <v>54</v>
      </c>
      <c r="Q56" s="13"/>
    </row>
    <row r="57" spans="1:21" ht="24" x14ac:dyDescent="0.2">
      <c r="A57" s="62"/>
      <c r="B57" s="59"/>
      <c r="C57" s="14" t="s">
        <v>89</v>
      </c>
      <c r="D57" s="14">
        <v>2018</v>
      </c>
      <c r="E57" s="15">
        <f t="shared" si="44"/>
        <v>270</v>
      </c>
      <c r="F57" s="16">
        <v>0</v>
      </c>
      <c r="G57" s="16">
        <v>270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59"/>
      <c r="P57" s="59"/>
      <c r="Q57" s="13"/>
    </row>
    <row r="58" spans="1:21" ht="24" x14ac:dyDescent="0.2">
      <c r="A58" s="78" t="s">
        <v>132</v>
      </c>
      <c r="B58" s="59" t="s">
        <v>175</v>
      </c>
      <c r="C58" s="14" t="s">
        <v>18</v>
      </c>
      <c r="D58" s="69" t="s">
        <v>145</v>
      </c>
      <c r="E58" s="15">
        <f t="shared" si="44"/>
        <v>86032.292100000006</v>
      </c>
      <c r="F58" s="16">
        <v>0</v>
      </c>
      <c r="G58" s="16">
        <v>0</v>
      </c>
      <c r="H58" s="16">
        <f>300+4800+4000+2000+75+239.4+410.2+974.9+1430.3+337</f>
        <v>14566.8</v>
      </c>
      <c r="I58" s="16">
        <f>309-119+6128.2+175.3+30+44.3</f>
        <v>6567.8</v>
      </c>
      <c r="J58" s="16">
        <f>3697.6+305.7+20+78+74.9-24.9+294.2-32.7+60</f>
        <v>4472.7999999999993</v>
      </c>
      <c r="K58" s="16">
        <f>170+1000+312.9+1800-1800+258.1+107.5+152.6+450+184.5+44+390+1000+300+50+74.4+34.1+38.2+418.8+1128.5+226.4-955.3+25+131.2+230.2+12.6+150+280.2</f>
        <v>6213.9</v>
      </c>
      <c r="L58" s="16">
        <v>6776.9</v>
      </c>
      <c r="M58" s="16">
        <v>17555.8</v>
      </c>
      <c r="N58" s="16">
        <f>14874+374+10056.6+69.80404+75+569.88-243.22194+149.58+540+600+580+250+44+570.15+300+140+620-41.5+350</f>
        <v>29878.292100000002</v>
      </c>
      <c r="O58" s="59" t="s">
        <v>76</v>
      </c>
      <c r="P58" s="59" t="s">
        <v>54</v>
      </c>
      <c r="Q58" s="23">
        <v>1540325060</v>
      </c>
    </row>
    <row r="59" spans="1:21" ht="24" x14ac:dyDescent="0.2">
      <c r="A59" s="78"/>
      <c r="B59" s="59"/>
      <c r="C59" s="14" t="s">
        <v>89</v>
      </c>
      <c r="D59" s="69"/>
      <c r="E59" s="15">
        <f t="shared" si="44"/>
        <v>13257.3</v>
      </c>
      <c r="F59" s="16">
        <v>0</v>
      </c>
      <c r="G59" s="16">
        <v>0</v>
      </c>
      <c r="H59" s="16">
        <v>0</v>
      </c>
      <c r="I59" s="16">
        <v>7069</v>
      </c>
      <c r="J59" s="16">
        <v>0</v>
      </c>
      <c r="K59" s="16">
        <v>3164.1</v>
      </c>
      <c r="L59" s="16">
        <v>0</v>
      </c>
      <c r="M59" s="16">
        <v>0</v>
      </c>
      <c r="N59" s="16">
        <v>3024.2</v>
      </c>
      <c r="O59" s="59"/>
      <c r="P59" s="59"/>
      <c r="Q59" s="23" t="s">
        <v>194</v>
      </c>
    </row>
    <row r="60" spans="1:21" ht="60" x14ac:dyDescent="0.2">
      <c r="A60" s="29" t="s">
        <v>133</v>
      </c>
      <c r="B60" s="17" t="s">
        <v>73</v>
      </c>
      <c r="C60" s="14" t="s">
        <v>19</v>
      </c>
      <c r="D60" s="14" t="s">
        <v>176</v>
      </c>
      <c r="E60" s="15">
        <f t="shared" si="44"/>
        <v>3148.4</v>
      </c>
      <c r="F60" s="16">
        <v>0</v>
      </c>
      <c r="G60" s="16">
        <f>87.5+100</f>
        <v>187.5</v>
      </c>
      <c r="H60" s="16">
        <v>750</v>
      </c>
      <c r="I60" s="16">
        <f>450+1500-337.1+33+15</f>
        <v>1660.9</v>
      </c>
      <c r="J60" s="16">
        <v>350</v>
      </c>
      <c r="K60" s="16">
        <v>0</v>
      </c>
      <c r="L60" s="16">
        <v>0</v>
      </c>
      <c r="M60" s="16">
        <v>200</v>
      </c>
      <c r="N60" s="16">
        <v>0</v>
      </c>
      <c r="O60" s="17" t="s">
        <v>76</v>
      </c>
      <c r="P60" s="17" t="s">
        <v>74</v>
      </c>
      <c r="Q60" s="13"/>
    </row>
    <row r="61" spans="1:21" ht="72" x14ac:dyDescent="0.2">
      <c r="A61" s="29" t="s">
        <v>178</v>
      </c>
      <c r="B61" s="17" t="s">
        <v>179</v>
      </c>
      <c r="C61" s="14" t="s">
        <v>19</v>
      </c>
      <c r="D61" s="14">
        <v>2025</v>
      </c>
      <c r="E61" s="15">
        <f>N61</f>
        <v>701.6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701.6</v>
      </c>
      <c r="O61" s="17" t="s">
        <v>76</v>
      </c>
      <c r="P61" s="17" t="s">
        <v>54</v>
      </c>
      <c r="Q61" s="23">
        <v>1540325200</v>
      </c>
    </row>
    <row r="62" spans="1:21" ht="24" x14ac:dyDescent="0.2">
      <c r="A62" s="67" t="s">
        <v>117</v>
      </c>
      <c r="B62" s="68" t="s">
        <v>123</v>
      </c>
      <c r="C62" s="32" t="s">
        <v>97</v>
      </c>
      <c r="D62" s="55"/>
      <c r="E62" s="33">
        <f>E65+E63+E64</f>
        <v>284809.52</v>
      </c>
      <c r="F62" s="35">
        <f>SUM(F63:F65)</f>
        <v>29492.1</v>
      </c>
      <c r="G62" s="35">
        <f t="shared" ref="G62:N62" si="45">SUM(G63:G65)</f>
        <v>44507.9</v>
      </c>
      <c r="H62" s="35">
        <f t="shared" si="45"/>
        <v>62145.200000000004</v>
      </c>
      <c r="I62" s="35">
        <f t="shared" si="45"/>
        <v>41372.699999999997</v>
      </c>
      <c r="J62" s="35">
        <f t="shared" si="45"/>
        <v>25152.5</v>
      </c>
      <c r="K62" s="35">
        <f t="shared" si="45"/>
        <v>20444.699999999997</v>
      </c>
      <c r="L62" s="35">
        <f t="shared" si="45"/>
        <v>24333.799999999996</v>
      </c>
      <c r="M62" s="35">
        <f t="shared" ref="M62" si="46">SUM(M63:M65)</f>
        <v>17034.5</v>
      </c>
      <c r="N62" s="35">
        <f t="shared" si="45"/>
        <v>20326.12</v>
      </c>
      <c r="O62" s="55"/>
      <c r="P62" s="56"/>
      <c r="Q62" s="13"/>
    </row>
    <row r="63" spans="1:21" ht="24" x14ac:dyDescent="0.2">
      <c r="A63" s="67"/>
      <c r="B63" s="68"/>
      <c r="C63" s="32" t="s">
        <v>89</v>
      </c>
      <c r="D63" s="55"/>
      <c r="E63" s="33">
        <f>SUM(F63:N63)</f>
        <v>38702.200000000004</v>
      </c>
      <c r="F63" s="36">
        <f>F72</f>
        <v>742.9</v>
      </c>
      <c r="G63" s="36">
        <f t="shared" ref="G63:N63" si="47">G72</f>
        <v>742.9</v>
      </c>
      <c r="H63" s="36">
        <f t="shared" si="47"/>
        <v>5192.6000000000004</v>
      </c>
      <c r="I63" s="36">
        <f t="shared" si="47"/>
        <v>19054.2</v>
      </c>
      <c r="J63" s="36">
        <f t="shared" si="47"/>
        <v>7236.3</v>
      </c>
      <c r="K63" s="36">
        <f t="shared" si="47"/>
        <v>2500</v>
      </c>
      <c r="L63" s="36">
        <f t="shared" si="47"/>
        <v>0</v>
      </c>
      <c r="M63" s="36">
        <f t="shared" ref="M63" si="48">M72</f>
        <v>0</v>
      </c>
      <c r="N63" s="36">
        <f t="shared" si="47"/>
        <v>3233.3</v>
      </c>
      <c r="O63" s="55"/>
      <c r="P63" s="56"/>
      <c r="Q63" s="13"/>
    </row>
    <row r="64" spans="1:21" ht="48" x14ac:dyDescent="0.2">
      <c r="A64" s="67"/>
      <c r="B64" s="68"/>
      <c r="C64" s="32" t="s">
        <v>65</v>
      </c>
      <c r="D64" s="55"/>
      <c r="E64" s="33">
        <f>SUM(F64:N64)</f>
        <v>48218.5</v>
      </c>
      <c r="F64" s="36">
        <f>F73</f>
        <v>12263.4</v>
      </c>
      <c r="G64" s="36">
        <f t="shared" ref="G64:N64" si="49">G73</f>
        <v>14955.1</v>
      </c>
      <c r="H64" s="36">
        <f t="shared" si="49"/>
        <v>21000</v>
      </c>
      <c r="I64" s="36">
        <f t="shared" si="49"/>
        <v>0</v>
      </c>
      <c r="J64" s="36">
        <f t="shared" si="49"/>
        <v>0</v>
      </c>
      <c r="K64" s="36">
        <f t="shared" si="49"/>
        <v>0</v>
      </c>
      <c r="L64" s="36">
        <f t="shared" si="49"/>
        <v>0</v>
      </c>
      <c r="M64" s="36">
        <f t="shared" ref="M64" si="50">M73</f>
        <v>0</v>
      </c>
      <c r="N64" s="36">
        <f t="shared" si="49"/>
        <v>0</v>
      </c>
      <c r="O64" s="55"/>
      <c r="P64" s="56"/>
      <c r="Q64" s="13"/>
    </row>
    <row r="65" spans="1:22" ht="24" x14ac:dyDescent="0.2">
      <c r="A65" s="67"/>
      <c r="B65" s="68"/>
      <c r="C65" s="32" t="s">
        <v>19</v>
      </c>
      <c r="D65" s="55"/>
      <c r="E65" s="33">
        <f>SUM(F65:N65)</f>
        <v>197888.82</v>
      </c>
      <c r="F65" s="36">
        <f>SUM(F66+F67+F68+F69+F70+F71+F74+F75)</f>
        <v>16485.8</v>
      </c>
      <c r="G65" s="36">
        <f t="shared" ref="G65:L65" si="51">SUM(G66+G67+G68+G69+G70+G71+G74+G75)</f>
        <v>28809.9</v>
      </c>
      <c r="H65" s="36">
        <f t="shared" si="51"/>
        <v>35952.600000000006</v>
      </c>
      <c r="I65" s="36">
        <f t="shared" si="51"/>
        <v>22318.5</v>
      </c>
      <c r="J65" s="36">
        <f t="shared" si="51"/>
        <v>17916.2</v>
      </c>
      <c r="K65" s="36">
        <f t="shared" si="51"/>
        <v>17944.699999999997</v>
      </c>
      <c r="L65" s="36">
        <f t="shared" si="51"/>
        <v>24333.799999999996</v>
      </c>
      <c r="M65" s="36">
        <f t="shared" ref="M65" si="52">SUM(M66+M67+M68+M69+M70+M71+M74+M75)</f>
        <v>17034.5</v>
      </c>
      <c r="N65" s="36">
        <f>SUM(N66+N67+N68+N69+N70+N71+N74+N75)</f>
        <v>17092.82</v>
      </c>
      <c r="O65" s="55"/>
      <c r="P65" s="56"/>
      <c r="Q65" s="13"/>
    </row>
    <row r="66" spans="1:22" ht="72" x14ac:dyDescent="0.2">
      <c r="A66" s="43" t="s">
        <v>9</v>
      </c>
      <c r="B66" s="17" t="s">
        <v>37</v>
      </c>
      <c r="C66" s="14" t="s">
        <v>19</v>
      </c>
      <c r="D66" s="44" t="s">
        <v>182</v>
      </c>
      <c r="E66" s="15">
        <f>SUM(F66:N66)</f>
        <v>1453</v>
      </c>
      <c r="F66" s="20">
        <v>98.5</v>
      </c>
      <c r="G66" s="20">
        <f>205-5-71.5</f>
        <v>128.5</v>
      </c>
      <c r="H66" s="20">
        <v>150</v>
      </c>
      <c r="I66" s="20">
        <v>150</v>
      </c>
      <c r="J66" s="20">
        <f>156-156</f>
        <v>0</v>
      </c>
      <c r="K66" s="20">
        <v>162</v>
      </c>
      <c r="L66" s="20">
        <v>0</v>
      </c>
      <c r="M66" s="20">
        <v>580</v>
      </c>
      <c r="N66" s="20">
        <v>184</v>
      </c>
      <c r="O66" s="17" t="s">
        <v>76</v>
      </c>
      <c r="P66" s="17" t="s">
        <v>29</v>
      </c>
      <c r="Q66" s="23" t="s">
        <v>195</v>
      </c>
    </row>
    <row r="67" spans="1:22" ht="72" x14ac:dyDescent="0.2">
      <c r="A67" s="43" t="s">
        <v>10</v>
      </c>
      <c r="B67" s="19" t="s">
        <v>62</v>
      </c>
      <c r="C67" s="14" t="s">
        <v>19</v>
      </c>
      <c r="D67" s="44" t="s">
        <v>135</v>
      </c>
      <c r="E67" s="15">
        <f t="shared" ref="E67:E75" si="53">SUM(F67:N67)</f>
        <v>695</v>
      </c>
      <c r="F67" s="16">
        <v>0</v>
      </c>
      <c r="G67" s="16">
        <v>200</v>
      </c>
      <c r="H67" s="16">
        <v>495</v>
      </c>
      <c r="I67" s="16">
        <f>100-67-33</f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7" t="s">
        <v>76</v>
      </c>
      <c r="P67" s="17" t="s">
        <v>29</v>
      </c>
      <c r="Q67" s="13"/>
    </row>
    <row r="68" spans="1:22" ht="72" x14ac:dyDescent="0.2">
      <c r="A68" s="43" t="s">
        <v>11</v>
      </c>
      <c r="B68" s="19" t="s">
        <v>82</v>
      </c>
      <c r="C68" s="14" t="s">
        <v>19</v>
      </c>
      <c r="D68" s="44" t="s">
        <v>186</v>
      </c>
      <c r="E68" s="15">
        <f t="shared" si="53"/>
        <v>900</v>
      </c>
      <c r="F68" s="16">
        <v>0</v>
      </c>
      <c r="G68" s="16">
        <v>0</v>
      </c>
      <c r="H68" s="16">
        <v>100</v>
      </c>
      <c r="I68" s="16">
        <v>200</v>
      </c>
      <c r="J68" s="16">
        <v>0</v>
      </c>
      <c r="K68" s="16">
        <v>0</v>
      </c>
      <c r="L68" s="16">
        <v>0</v>
      </c>
      <c r="M68" s="16">
        <v>0</v>
      </c>
      <c r="N68" s="16">
        <v>600</v>
      </c>
      <c r="O68" s="17" t="s">
        <v>76</v>
      </c>
      <c r="P68" s="17" t="s">
        <v>29</v>
      </c>
      <c r="Q68" s="23" t="s">
        <v>195</v>
      </c>
    </row>
    <row r="69" spans="1:22" ht="72" x14ac:dyDescent="0.2">
      <c r="A69" s="43" t="s">
        <v>147</v>
      </c>
      <c r="B69" s="19" t="s">
        <v>83</v>
      </c>
      <c r="C69" s="14" t="s">
        <v>19</v>
      </c>
      <c r="D69" s="44" t="s">
        <v>183</v>
      </c>
      <c r="E69" s="15">
        <f t="shared" si="53"/>
        <v>1740</v>
      </c>
      <c r="F69" s="16">
        <v>0</v>
      </c>
      <c r="G69" s="16">
        <v>0</v>
      </c>
      <c r="H69" s="16">
        <v>0</v>
      </c>
      <c r="I69" s="16">
        <v>0</v>
      </c>
      <c r="J69" s="16">
        <v>350</v>
      </c>
      <c r="K69" s="16">
        <v>0</v>
      </c>
      <c r="L69" s="16">
        <v>420</v>
      </c>
      <c r="M69" s="16">
        <v>450</v>
      </c>
      <c r="N69" s="16">
        <v>520</v>
      </c>
      <c r="O69" s="17" t="s">
        <v>76</v>
      </c>
      <c r="P69" s="17" t="s">
        <v>29</v>
      </c>
      <c r="Q69" s="23" t="s">
        <v>195</v>
      </c>
    </row>
    <row r="70" spans="1:22" ht="72" x14ac:dyDescent="0.2">
      <c r="A70" s="14" t="s">
        <v>148</v>
      </c>
      <c r="B70" s="17" t="s">
        <v>57</v>
      </c>
      <c r="C70" s="14" t="s">
        <v>18</v>
      </c>
      <c r="D70" s="14" t="s">
        <v>170</v>
      </c>
      <c r="E70" s="15">
        <f t="shared" si="53"/>
        <v>42707.7</v>
      </c>
      <c r="F70" s="16">
        <v>1876.3</v>
      </c>
      <c r="G70" s="16">
        <f>2450.6+255+192+45.7</f>
        <v>2943.2999999999997</v>
      </c>
      <c r="H70" s="16">
        <f>6660.2-51.5-12.2</f>
        <v>6596.5</v>
      </c>
      <c r="I70" s="16">
        <f>2800+867.9-82.1</f>
        <v>3585.8</v>
      </c>
      <c r="J70" s="16">
        <v>5125</v>
      </c>
      <c r="K70" s="16">
        <f>5565+309.7+142.1-24</f>
        <v>5992.8</v>
      </c>
      <c r="L70" s="16">
        <f>1593.5+2702.1+350-62+121.2</f>
        <v>4704.8</v>
      </c>
      <c r="M70" s="16">
        <f>2673.2+2980</f>
        <v>5653.2</v>
      </c>
      <c r="N70" s="16">
        <f>6700+90-540-20</f>
        <v>6230</v>
      </c>
      <c r="O70" s="17" t="s">
        <v>39</v>
      </c>
      <c r="P70" s="17" t="s">
        <v>29</v>
      </c>
      <c r="Q70" s="23" t="s">
        <v>195</v>
      </c>
    </row>
    <row r="71" spans="1:22" ht="24" x14ac:dyDescent="0.2">
      <c r="A71" s="61" t="s">
        <v>149</v>
      </c>
      <c r="B71" s="59" t="s">
        <v>45</v>
      </c>
      <c r="C71" s="14" t="s">
        <v>19</v>
      </c>
      <c r="D71" s="61" t="s">
        <v>170</v>
      </c>
      <c r="E71" s="15">
        <f t="shared" si="53"/>
        <v>80173.400000000009</v>
      </c>
      <c r="F71" s="16">
        <v>906</v>
      </c>
      <c r="G71" s="16">
        <v>8454.9</v>
      </c>
      <c r="H71" s="20">
        <f>15000+410.2+239.4+974.9-239.4-410.2-974.9+3720+760+713.4-1406.6-17.8+21+95.4</f>
        <v>18885.400000000005</v>
      </c>
      <c r="I71" s="20">
        <f>6818.8+500+1000+156.1+881.7+408.6+119.8-30</f>
        <v>9855</v>
      </c>
      <c r="J71" s="20">
        <f>8702.1+315.8-8.4-11-100-42.3</f>
        <v>8856.2000000000007</v>
      </c>
      <c r="K71" s="20">
        <f>8644.5-322.2-76.5-38.2-64-631.6-281-181.6-103.1+555+393.7</f>
        <v>7894.9999999999973</v>
      </c>
      <c r="L71" s="20">
        <f>6000+1200+564.3+650+1010+700-125-270-60+300+60-27</f>
        <v>10002.299999999999</v>
      </c>
      <c r="M71" s="20">
        <f>6009.9-650+2000+157.5+90+500+5.7-490</f>
        <v>7623.0999999999995</v>
      </c>
      <c r="N71" s="20">
        <f>7298.4+399.1+3096.65817-3098.65817</f>
        <v>7695.5</v>
      </c>
      <c r="O71" s="59" t="s">
        <v>39</v>
      </c>
      <c r="P71" s="59" t="s">
        <v>68</v>
      </c>
      <c r="Q71" s="23" t="s">
        <v>196</v>
      </c>
      <c r="R71" s="12" t="s">
        <v>197</v>
      </c>
    </row>
    <row r="72" spans="1:22" s="11" customFormat="1" ht="24" x14ac:dyDescent="0.2">
      <c r="A72" s="61"/>
      <c r="B72" s="59"/>
      <c r="C72" s="14" t="s">
        <v>89</v>
      </c>
      <c r="D72" s="61"/>
      <c r="E72" s="15">
        <f t="shared" si="53"/>
        <v>38702.200000000004</v>
      </c>
      <c r="F72" s="16">
        <v>742.9</v>
      </c>
      <c r="G72" s="16">
        <v>742.9</v>
      </c>
      <c r="H72" s="20">
        <f>736.8+4455.8</f>
        <v>5192.6000000000004</v>
      </c>
      <c r="I72" s="20">
        <f>726+1578.2+16750</f>
        <v>19054.2</v>
      </c>
      <c r="J72" s="20">
        <f>6000+1236.3</f>
        <v>7236.3</v>
      </c>
      <c r="K72" s="20">
        <f>14500-12000</f>
        <v>2500</v>
      </c>
      <c r="L72" s="20">
        <v>0</v>
      </c>
      <c r="M72" s="20">
        <v>0</v>
      </c>
      <c r="N72" s="20">
        <v>3233.3</v>
      </c>
      <c r="O72" s="59"/>
      <c r="P72" s="59"/>
      <c r="Q72" s="51" t="s">
        <v>193</v>
      </c>
    </row>
    <row r="73" spans="1:22" s="11" customFormat="1" ht="48" x14ac:dyDescent="0.2">
      <c r="A73" s="61"/>
      <c r="B73" s="59"/>
      <c r="C73" s="14" t="s">
        <v>65</v>
      </c>
      <c r="D73" s="61"/>
      <c r="E73" s="15">
        <f t="shared" si="53"/>
        <v>48218.5</v>
      </c>
      <c r="F73" s="16">
        <v>12263.4</v>
      </c>
      <c r="G73" s="16">
        <f>15000-44.9</f>
        <v>14955.1</v>
      </c>
      <c r="H73" s="20">
        <v>21000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59"/>
      <c r="P73" s="59"/>
      <c r="Q73" s="13"/>
    </row>
    <row r="74" spans="1:22" s="11" customFormat="1" ht="72" x14ac:dyDescent="0.2">
      <c r="A74" s="14" t="s">
        <v>150</v>
      </c>
      <c r="B74" s="19" t="s">
        <v>46</v>
      </c>
      <c r="C74" s="14" t="s">
        <v>18</v>
      </c>
      <c r="D74" s="14" t="s">
        <v>170</v>
      </c>
      <c r="E74" s="15">
        <f t="shared" si="53"/>
        <v>27999.820000000003</v>
      </c>
      <c r="F74" s="16">
        <v>2500</v>
      </c>
      <c r="G74" s="16">
        <v>3000</v>
      </c>
      <c r="H74" s="16">
        <v>3375.7</v>
      </c>
      <c r="I74" s="16">
        <v>3500</v>
      </c>
      <c r="J74" s="16">
        <v>3585</v>
      </c>
      <c r="K74" s="16">
        <v>3782</v>
      </c>
      <c r="L74" s="16">
        <f>3933.3-146.5-121.2</f>
        <v>3665.6000000000004</v>
      </c>
      <c r="M74" s="16">
        <v>2728.2</v>
      </c>
      <c r="N74" s="16">
        <f>2467.6-32.5-1.58-570.2</f>
        <v>1863.32</v>
      </c>
      <c r="O74" s="17" t="s">
        <v>39</v>
      </c>
      <c r="P74" s="17" t="s">
        <v>29</v>
      </c>
      <c r="Q74" s="23" t="s">
        <v>195</v>
      </c>
    </row>
    <row r="75" spans="1:22" s="11" customFormat="1" ht="36" x14ac:dyDescent="0.2">
      <c r="A75" s="18" t="s">
        <v>151</v>
      </c>
      <c r="B75" s="19" t="s">
        <v>61</v>
      </c>
      <c r="C75" s="14" t="s">
        <v>18</v>
      </c>
      <c r="D75" s="14" t="s">
        <v>184</v>
      </c>
      <c r="E75" s="15">
        <f t="shared" si="53"/>
        <v>42219.9</v>
      </c>
      <c r="F75" s="16">
        <v>11105</v>
      </c>
      <c r="G75" s="16">
        <f>13513.7+569.5</f>
        <v>14083.2</v>
      </c>
      <c r="H75" s="16">
        <v>6350</v>
      </c>
      <c r="I75" s="16">
        <f>4960.7+67</f>
        <v>5027.7</v>
      </c>
      <c r="J75" s="16">
        <v>0</v>
      </c>
      <c r="K75" s="16">
        <f>5722.2+133.9-5743.2</f>
        <v>112.89999999999964</v>
      </c>
      <c r="L75" s="16">
        <f>6000+190.4+42.1-130-77.1-254-66.2-57.7-106.4</f>
        <v>5541.1</v>
      </c>
      <c r="M75" s="16">
        <v>0</v>
      </c>
      <c r="N75" s="16">
        <v>0</v>
      </c>
      <c r="O75" s="17" t="s">
        <v>39</v>
      </c>
      <c r="P75" s="17" t="s">
        <v>30</v>
      </c>
      <c r="Q75" s="13"/>
      <c r="R75" s="64"/>
      <c r="S75" s="64"/>
      <c r="T75" s="64"/>
      <c r="U75" s="64"/>
      <c r="V75" s="64"/>
    </row>
    <row r="76" spans="1:22" s="11" customFormat="1" ht="24" x14ac:dyDescent="0.2">
      <c r="A76" s="60" t="s">
        <v>98</v>
      </c>
      <c r="B76" s="56" t="s">
        <v>116</v>
      </c>
      <c r="C76" s="32" t="s">
        <v>97</v>
      </c>
      <c r="D76" s="55"/>
      <c r="E76" s="33">
        <f>E77</f>
        <v>494959.658</v>
      </c>
      <c r="F76" s="35">
        <f>F77</f>
        <v>28783.399999999998</v>
      </c>
      <c r="G76" s="35">
        <f t="shared" ref="G76:N76" si="54">G77</f>
        <v>32776.9</v>
      </c>
      <c r="H76" s="35">
        <f t="shared" si="54"/>
        <v>42701.4</v>
      </c>
      <c r="I76" s="35">
        <f t="shared" si="54"/>
        <v>43589.3</v>
      </c>
      <c r="J76" s="35">
        <f t="shared" si="54"/>
        <v>45246.9</v>
      </c>
      <c r="K76" s="35">
        <f t="shared" si="54"/>
        <v>49126</v>
      </c>
      <c r="L76" s="35">
        <f t="shared" si="54"/>
        <v>71360.100000000006</v>
      </c>
      <c r="M76" s="35">
        <f t="shared" si="54"/>
        <v>93563.5</v>
      </c>
      <c r="N76" s="35">
        <f t="shared" si="54"/>
        <v>87812.157999999996</v>
      </c>
      <c r="O76" s="32"/>
      <c r="P76" s="31"/>
      <c r="Q76" s="13"/>
      <c r="R76" s="30"/>
      <c r="S76" s="30"/>
      <c r="T76" s="30"/>
      <c r="U76" s="30"/>
      <c r="V76" s="30"/>
    </row>
    <row r="77" spans="1:22" s="11" customFormat="1" ht="24" x14ac:dyDescent="0.2">
      <c r="A77" s="60"/>
      <c r="B77" s="56"/>
      <c r="C77" s="32" t="s">
        <v>19</v>
      </c>
      <c r="D77" s="55"/>
      <c r="E77" s="33">
        <f>SUM(F77:N77)</f>
        <v>494959.658</v>
      </c>
      <c r="F77" s="36">
        <f>SUM(F78:F80)</f>
        <v>28783.399999999998</v>
      </c>
      <c r="G77" s="36">
        <f t="shared" ref="G77:N77" si="55">SUM(G78:G80)</f>
        <v>32776.9</v>
      </c>
      <c r="H77" s="36">
        <f t="shared" si="55"/>
        <v>42701.4</v>
      </c>
      <c r="I77" s="36">
        <f t="shared" si="55"/>
        <v>43589.3</v>
      </c>
      <c r="J77" s="36">
        <f t="shared" si="55"/>
        <v>45246.9</v>
      </c>
      <c r="K77" s="36">
        <f t="shared" si="55"/>
        <v>49126</v>
      </c>
      <c r="L77" s="36">
        <f t="shared" si="55"/>
        <v>71360.100000000006</v>
      </c>
      <c r="M77" s="36">
        <f t="shared" ref="M77" si="56">SUM(M78:M80)</f>
        <v>93563.5</v>
      </c>
      <c r="N77" s="36">
        <f t="shared" si="55"/>
        <v>87812.157999999996</v>
      </c>
      <c r="O77" s="32"/>
      <c r="P77" s="31"/>
      <c r="Q77" s="13"/>
      <c r="R77" s="30"/>
      <c r="S77" s="30"/>
      <c r="T77" s="30"/>
      <c r="U77" s="30"/>
      <c r="V77" s="30"/>
    </row>
    <row r="78" spans="1:22" ht="73.5" customHeight="1" x14ac:dyDescent="0.2">
      <c r="A78" s="21" t="s">
        <v>122</v>
      </c>
      <c r="B78" s="19" t="s">
        <v>58</v>
      </c>
      <c r="C78" s="14" t="s">
        <v>18</v>
      </c>
      <c r="D78" s="14" t="s">
        <v>170</v>
      </c>
      <c r="E78" s="22">
        <f>SUM(F78:N78)</f>
        <v>483275.85800000001</v>
      </c>
      <c r="F78" s="16">
        <v>27939.599999999999</v>
      </c>
      <c r="G78" s="16">
        <v>31946.6</v>
      </c>
      <c r="H78" s="16">
        <f>30958.2+6976.3+3793</f>
        <v>41727.5</v>
      </c>
      <c r="I78" s="16">
        <f>32506.1+9766.9+293.9</f>
        <v>42566.9</v>
      </c>
      <c r="J78" s="16">
        <f>43451.3+909.5</f>
        <v>44360.800000000003</v>
      </c>
      <c r="K78" s="16">
        <v>48000</v>
      </c>
      <c r="L78" s="16">
        <f>20000+45000+807.5+3812.3</f>
        <v>69619.8</v>
      </c>
      <c r="M78" s="16">
        <v>91302.5</v>
      </c>
      <c r="N78" s="16">
        <f>87880-569.9-3096.6+2500+3098.658-4000</f>
        <v>85812.157999999996</v>
      </c>
      <c r="O78" s="17" t="s">
        <v>39</v>
      </c>
      <c r="P78" s="19" t="s">
        <v>47</v>
      </c>
      <c r="Q78" s="23" t="s">
        <v>198</v>
      </c>
    </row>
    <row r="79" spans="1:22" ht="48" x14ac:dyDescent="0.2">
      <c r="A79" s="14" t="s">
        <v>12</v>
      </c>
      <c r="B79" s="19" t="s">
        <v>35</v>
      </c>
      <c r="C79" s="14" t="s">
        <v>18</v>
      </c>
      <c r="D79" s="14" t="s">
        <v>170</v>
      </c>
      <c r="E79" s="22">
        <f t="shared" ref="E79:E80" si="57">SUM(F79:N79)</f>
        <v>11630.8</v>
      </c>
      <c r="F79" s="16">
        <v>790.8</v>
      </c>
      <c r="G79" s="16">
        <v>830.3</v>
      </c>
      <c r="H79" s="16">
        <v>973.9</v>
      </c>
      <c r="I79" s="16">
        <v>1022.4</v>
      </c>
      <c r="J79" s="16">
        <f>1063.3-177.2</f>
        <v>886.09999999999991</v>
      </c>
      <c r="K79" s="16">
        <f>1104.8+200-354.8+355.4+20.6-200</f>
        <v>1126</v>
      </c>
      <c r="L79" s="16">
        <f>1160+1500+350-650-139.7-420+120-180</f>
        <v>1740.3000000000002</v>
      </c>
      <c r="M79" s="16">
        <f>2000+261</f>
        <v>2261</v>
      </c>
      <c r="N79" s="16">
        <v>2000</v>
      </c>
      <c r="O79" s="17" t="s">
        <v>39</v>
      </c>
      <c r="P79" s="19" t="s">
        <v>20</v>
      </c>
      <c r="Q79" s="23" t="s">
        <v>198</v>
      </c>
    </row>
    <row r="80" spans="1:22" ht="36" x14ac:dyDescent="0.2">
      <c r="A80" s="14" t="s">
        <v>13</v>
      </c>
      <c r="B80" s="19" t="s">
        <v>63</v>
      </c>
      <c r="C80" s="14" t="s">
        <v>18</v>
      </c>
      <c r="D80" s="14">
        <v>2017</v>
      </c>
      <c r="E80" s="22">
        <f t="shared" si="57"/>
        <v>53</v>
      </c>
      <c r="F80" s="16">
        <v>53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7" t="s">
        <v>39</v>
      </c>
      <c r="P80" s="19" t="s">
        <v>64</v>
      </c>
      <c r="Q80" s="13"/>
    </row>
    <row r="81" spans="1:17" ht="24" x14ac:dyDescent="0.2">
      <c r="A81" s="55" t="s">
        <v>100</v>
      </c>
      <c r="B81" s="56" t="s">
        <v>110</v>
      </c>
      <c r="C81" s="32" t="s">
        <v>97</v>
      </c>
      <c r="D81" s="55"/>
      <c r="E81" s="35">
        <f>SUM(F81:N81)</f>
        <v>120821.79999999999</v>
      </c>
      <c r="F81" s="35">
        <f>SUM(F82)</f>
        <v>8916.7000000000007</v>
      </c>
      <c r="G81" s="35">
        <f t="shared" ref="G81:N81" si="58">SUM(G82)</f>
        <v>9183.5999999999985</v>
      </c>
      <c r="H81" s="35">
        <f t="shared" si="58"/>
        <v>15783.9</v>
      </c>
      <c r="I81" s="35">
        <f t="shared" si="58"/>
        <v>12217.199999999999</v>
      </c>
      <c r="J81" s="35">
        <f t="shared" si="58"/>
        <v>13849.5</v>
      </c>
      <c r="K81" s="35">
        <f t="shared" si="58"/>
        <v>13770.5</v>
      </c>
      <c r="L81" s="35">
        <f t="shared" si="58"/>
        <v>14478.999999999998</v>
      </c>
      <c r="M81" s="35">
        <f t="shared" si="58"/>
        <v>14141.4</v>
      </c>
      <c r="N81" s="35">
        <f t="shared" si="58"/>
        <v>18480</v>
      </c>
      <c r="O81" s="55"/>
      <c r="P81" s="56"/>
      <c r="Q81" s="13"/>
    </row>
    <row r="82" spans="1:17" ht="24" x14ac:dyDescent="0.2">
      <c r="A82" s="55"/>
      <c r="B82" s="56"/>
      <c r="C82" s="32" t="s">
        <v>18</v>
      </c>
      <c r="D82" s="55"/>
      <c r="E82" s="35">
        <f>SUM(F82:N82)</f>
        <v>120821.79999999999</v>
      </c>
      <c r="F82" s="36">
        <f>SUM(F83:F87)</f>
        <v>8916.7000000000007</v>
      </c>
      <c r="G82" s="36">
        <f t="shared" ref="G82:N82" si="59">SUM(G83:G87)</f>
        <v>9183.5999999999985</v>
      </c>
      <c r="H82" s="36">
        <f t="shared" si="59"/>
        <v>15783.9</v>
      </c>
      <c r="I82" s="36">
        <f t="shared" si="59"/>
        <v>12217.199999999999</v>
      </c>
      <c r="J82" s="36">
        <f t="shared" si="59"/>
        <v>13849.5</v>
      </c>
      <c r="K82" s="36">
        <f t="shared" si="59"/>
        <v>13770.5</v>
      </c>
      <c r="L82" s="36">
        <f t="shared" si="59"/>
        <v>14478.999999999998</v>
      </c>
      <c r="M82" s="36">
        <f t="shared" ref="M82" si="60">SUM(M83:M87)</f>
        <v>14141.4</v>
      </c>
      <c r="N82" s="36">
        <f t="shared" si="59"/>
        <v>18480</v>
      </c>
      <c r="O82" s="55"/>
      <c r="P82" s="56"/>
      <c r="Q82" s="13"/>
    </row>
    <row r="83" spans="1:17" s="11" customFormat="1" ht="44.25" customHeight="1" x14ac:dyDescent="0.2">
      <c r="A83" s="18" t="s">
        <v>32</v>
      </c>
      <c r="B83" s="19" t="s">
        <v>33</v>
      </c>
      <c r="C83" s="14" t="s">
        <v>18</v>
      </c>
      <c r="D83" s="14" t="s">
        <v>170</v>
      </c>
      <c r="E83" s="22">
        <f>SUM(F83:N83)</f>
        <v>98043.5</v>
      </c>
      <c r="F83" s="16">
        <v>7511.7</v>
      </c>
      <c r="G83" s="16">
        <f>6302.7+1600+96.4</f>
        <v>7999.0999999999995</v>
      </c>
      <c r="H83" s="16">
        <v>9832.2999999999993</v>
      </c>
      <c r="I83" s="16">
        <f>7313.5+3566.9</f>
        <v>10880.4</v>
      </c>
      <c r="J83" s="16">
        <f>11498-120.1</f>
        <v>11377.9</v>
      </c>
      <c r="K83" s="16">
        <f>11729.3-20.4+69.1</f>
        <v>11778</v>
      </c>
      <c r="L83" s="16">
        <f>12198.5+1700-133.2-1010-257.2-8-64.1+112.2</f>
        <v>12538.199999999999</v>
      </c>
      <c r="M83" s="16">
        <v>12519.5</v>
      </c>
      <c r="N83" s="16">
        <f>12686.4-80+1000</f>
        <v>13606.4</v>
      </c>
      <c r="O83" s="17" t="s">
        <v>39</v>
      </c>
      <c r="P83" s="19" t="s">
        <v>21</v>
      </c>
      <c r="Q83" s="23">
        <v>1540625130</v>
      </c>
    </row>
    <row r="84" spans="1:17" ht="96" x14ac:dyDescent="0.2">
      <c r="A84" s="14" t="s">
        <v>40</v>
      </c>
      <c r="B84" s="19" t="s">
        <v>34</v>
      </c>
      <c r="C84" s="14" t="s">
        <v>18</v>
      </c>
      <c r="D84" s="14">
        <v>2017</v>
      </c>
      <c r="E84" s="22">
        <f t="shared" ref="E84:E87" si="61">SUM(F84:N84)</f>
        <v>315</v>
      </c>
      <c r="F84" s="16">
        <v>315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7" t="s">
        <v>39</v>
      </c>
      <c r="P84" s="19" t="s">
        <v>22</v>
      </c>
      <c r="Q84" s="23">
        <v>1540625130</v>
      </c>
    </row>
    <row r="85" spans="1:17" ht="48" x14ac:dyDescent="0.2">
      <c r="A85" s="14" t="s">
        <v>102</v>
      </c>
      <c r="B85" s="19" t="s">
        <v>36</v>
      </c>
      <c r="C85" s="14" t="s">
        <v>18</v>
      </c>
      <c r="D85" s="14" t="s">
        <v>170</v>
      </c>
      <c r="E85" s="22">
        <f t="shared" si="61"/>
        <v>15694.2</v>
      </c>
      <c r="F85" s="16">
        <v>1090</v>
      </c>
      <c r="G85" s="16">
        <v>1144.5</v>
      </c>
      <c r="H85" s="16">
        <v>1045.5</v>
      </c>
      <c r="I85" s="16">
        <v>1261.8</v>
      </c>
      <c r="J85" s="16">
        <f>1324.9-7.1-6.7</f>
        <v>1311.1000000000001</v>
      </c>
      <c r="K85" s="16">
        <f>1391.1+476.4</f>
        <v>1867.5</v>
      </c>
      <c r="L85" s="16">
        <f>1446.8+763.4-325.4</f>
        <v>1884.7999999999997</v>
      </c>
      <c r="M85" s="16">
        <v>1486.8</v>
      </c>
      <c r="N85" s="16">
        <f>1602.2+1000+2000</f>
        <v>4602.2</v>
      </c>
      <c r="O85" s="17" t="s">
        <v>39</v>
      </c>
      <c r="P85" s="19" t="s">
        <v>49</v>
      </c>
      <c r="Q85" s="23">
        <v>1540625130</v>
      </c>
    </row>
    <row r="86" spans="1:17" ht="48" x14ac:dyDescent="0.2">
      <c r="A86" s="14" t="s">
        <v>103</v>
      </c>
      <c r="B86" s="19" t="s">
        <v>70</v>
      </c>
      <c r="C86" s="14" t="s">
        <v>18</v>
      </c>
      <c r="D86" s="14" t="s">
        <v>172</v>
      </c>
      <c r="E86" s="22">
        <f t="shared" si="61"/>
        <v>826.5</v>
      </c>
      <c r="F86" s="16">
        <v>0</v>
      </c>
      <c r="G86" s="16">
        <v>40</v>
      </c>
      <c r="H86" s="16">
        <v>50</v>
      </c>
      <c r="I86" s="16">
        <v>75</v>
      </c>
      <c r="J86" s="16">
        <f>78-4</f>
        <v>74</v>
      </c>
      <c r="K86" s="16">
        <v>125</v>
      </c>
      <c r="L86" s="16">
        <f>129.9+38.2-112.1</f>
        <v>56.000000000000028</v>
      </c>
      <c r="M86" s="16">
        <v>135.1</v>
      </c>
      <c r="N86" s="16">
        <f>141.9+129.5</f>
        <v>271.39999999999998</v>
      </c>
      <c r="O86" s="17" t="s">
        <v>39</v>
      </c>
      <c r="P86" s="19" t="s">
        <v>71</v>
      </c>
      <c r="Q86" s="23">
        <v>1540625130</v>
      </c>
    </row>
    <row r="87" spans="1:17" ht="96" x14ac:dyDescent="0.2">
      <c r="A87" s="29" t="s">
        <v>152</v>
      </c>
      <c r="B87" s="19" t="s">
        <v>80</v>
      </c>
      <c r="C87" s="14" t="s">
        <v>18</v>
      </c>
      <c r="D87" s="14" t="s">
        <v>136</v>
      </c>
      <c r="E87" s="22">
        <f t="shared" si="61"/>
        <v>5942.6</v>
      </c>
      <c r="F87" s="16">
        <v>0</v>
      </c>
      <c r="G87" s="16">
        <v>0</v>
      </c>
      <c r="H87" s="16">
        <v>4856.1000000000004</v>
      </c>
      <c r="I87" s="16">
        <v>0</v>
      </c>
      <c r="J87" s="16">
        <v>1086.5</v>
      </c>
      <c r="K87" s="16">
        <v>0</v>
      </c>
      <c r="L87" s="16">
        <v>0</v>
      </c>
      <c r="M87" s="16">
        <v>0</v>
      </c>
      <c r="N87" s="16">
        <v>0</v>
      </c>
      <c r="O87" s="17" t="s">
        <v>39</v>
      </c>
      <c r="P87" s="19" t="s">
        <v>22</v>
      </c>
      <c r="Q87" s="13"/>
    </row>
    <row r="88" spans="1:17" ht="24" x14ac:dyDescent="0.2">
      <c r="A88" s="57" t="s">
        <v>118</v>
      </c>
      <c r="B88" s="58" t="s">
        <v>99</v>
      </c>
      <c r="C88" s="32" t="s">
        <v>97</v>
      </c>
      <c r="D88" s="55"/>
      <c r="E88" s="35">
        <f>SUM(F88:N88)</f>
        <v>225834.8</v>
      </c>
      <c r="F88" s="35">
        <f>SUM(F89)</f>
        <v>11212.4</v>
      </c>
      <c r="G88" s="35">
        <f t="shared" ref="G88" si="62">SUM(G89)</f>
        <v>12136.1</v>
      </c>
      <c r="H88" s="35">
        <f t="shared" ref="H88" si="63">SUM(H89)</f>
        <v>13467.999999999998</v>
      </c>
      <c r="I88" s="35">
        <f t="shared" ref="I88" si="64">SUM(I89)</f>
        <v>22106.7</v>
      </c>
      <c r="J88" s="35">
        <f t="shared" ref="J88" si="65">SUM(J89)</f>
        <v>16338.6</v>
      </c>
      <c r="K88" s="35">
        <f t="shared" ref="K88" si="66">SUM(K89)</f>
        <v>19962.8</v>
      </c>
      <c r="L88" s="35">
        <f t="shared" ref="L88" si="67">SUM(L89)</f>
        <v>28043.399999999998</v>
      </c>
      <c r="M88" s="35">
        <f t="shared" ref="M88:N88" si="68">SUM(M89)</f>
        <v>45311.799999999996</v>
      </c>
      <c r="N88" s="35">
        <f t="shared" si="68"/>
        <v>57255</v>
      </c>
      <c r="O88" s="57"/>
      <c r="P88" s="58"/>
      <c r="Q88" s="13"/>
    </row>
    <row r="89" spans="1:17" ht="24" x14ac:dyDescent="0.2">
      <c r="A89" s="57"/>
      <c r="B89" s="58"/>
      <c r="C89" s="32" t="s">
        <v>18</v>
      </c>
      <c r="D89" s="55"/>
      <c r="E89" s="35">
        <f>SUM(F89:N89)</f>
        <v>225834.8</v>
      </c>
      <c r="F89" s="36">
        <f t="shared" ref="F89:N89" si="69">SUM(F90:F93)</f>
        <v>11212.4</v>
      </c>
      <c r="G89" s="36">
        <f t="shared" si="69"/>
        <v>12136.1</v>
      </c>
      <c r="H89" s="36">
        <f t="shared" si="69"/>
        <v>13467.999999999998</v>
      </c>
      <c r="I89" s="36">
        <f t="shared" si="69"/>
        <v>22106.7</v>
      </c>
      <c r="J89" s="36">
        <f t="shared" si="69"/>
        <v>16338.6</v>
      </c>
      <c r="K89" s="36">
        <f t="shared" si="69"/>
        <v>19962.8</v>
      </c>
      <c r="L89" s="36">
        <f t="shared" si="69"/>
        <v>28043.399999999998</v>
      </c>
      <c r="M89" s="36">
        <f t="shared" ref="M89" si="70">SUM(M90:M93)</f>
        <v>45311.799999999996</v>
      </c>
      <c r="N89" s="36">
        <f t="shared" si="69"/>
        <v>57255</v>
      </c>
      <c r="O89" s="57"/>
      <c r="P89" s="58"/>
      <c r="Q89" s="13"/>
    </row>
    <row r="90" spans="1:17" ht="60" x14ac:dyDescent="0.2">
      <c r="A90" s="14" t="s">
        <v>72</v>
      </c>
      <c r="B90" s="19" t="s">
        <v>48</v>
      </c>
      <c r="C90" s="14" t="s">
        <v>18</v>
      </c>
      <c r="D90" s="14" t="s">
        <v>170</v>
      </c>
      <c r="E90" s="22">
        <f>SUM(F90:N90)</f>
        <v>223348.3</v>
      </c>
      <c r="F90" s="16">
        <v>10695.4</v>
      </c>
      <c r="G90" s="16">
        <f>11593.2+5+495</f>
        <v>12093.2</v>
      </c>
      <c r="H90" s="16">
        <f>11262.3+2151.9</f>
        <v>13414.199999999999</v>
      </c>
      <c r="I90" s="16">
        <f>11825.4+4431.6+5750+59.9</f>
        <v>22066.9</v>
      </c>
      <c r="J90" s="16">
        <v>16302.2</v>
      </c>
      <c r="K90" s="16">
        <f>17566.4+2099+349.8-413.9</f>
        <v>19601.3</v>
      </c>
      <c r="L90" s="16">
        <f>5131.6+14668.4+2800+2400+2600-442.8-564.3-149-169.9+1300+66.2-54.7+11.1</f>
        <v>27596.6</v>
      </c>
      <c r="M90" s="16">
        <f>30000-17.3+13700+1169.2</f>
        <v>44851.899999999994</v>
      </c>
      <c r="N90" s="16">
        <f>43694.6-68+4000+4500+4600</f>
        <v>56726.6</v>
      </c>
      <c r="O90" s="17" t="s">
        <v>76</v>
      </c>
      <c r="P90" s="19" t="s">
        <v>23</v>
      </c>
      <c r="Q90" s="23">
        <v>1540725150</v>
      </c>
    </row>
    <row r="91" spans="1:17" ht="48" x14ac:dyDescent="0.2">
      <c r="A91" s="14" t="s">
        <v>75</v>
      </c>
      <c r="B91" s="19" t="s">
        <v>50</v>
      </c>
      <c r="C91" s="14" t="s">
        <v>18</v>
      </c>
      <c r="D91" s="14">
        <v>2017</v>
      </c>
      <c r="E91" s="22">
        <f t="shared" ref="E91:E93" si="71">SUM(F91:N91)</f>
        <v>500</v>
      </c>
      <c r="F91" s="16">
        <v>500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7" t="s">
        <v>39</v>
      </c>
      <c r="P91" s="17" t="s">
        <v>28</v>
      </c>
      <c r="Q91" s="13"/>
    </row>
    <row r="92" spans="1:17" ht="48" x14ac:dyDescent="0.2">
      <c r="A92" s="14" t="s">
        <v>119</v>
      </c>
      <c r="B92" s="19" t="s">
        <v>24</v>
      </c>
      <c r="C92" s="14" t="s">
        <v>18</v>
      </c>
      <c r="D92" s="14" t="s">
        <v>171</v>
      </c>
      <c r="E92" s="22">
        <f t="shared" si="71"/>
        <v>1556.5</v>
      </c>
      <c r="F92" s="16">
        <v>5</v>
      </c>
      <c r="G92" s="16">
        <f>17.9-5</f>
        <v>12.899999999999999</v>
      </c>
      <c r="H92" s="16">
        <v>18.8</v>
      </c>
      <c r="I92" s="16">
        <f>19.8-15</f>
        <v>4.8000000000000007</v>
      </c>
      <c r="J92" s="16">
        <v>0</v>
      </c>
      <c r="K92" s="16">
        <v>314</v>
      </c>
      <c r="L92" s="16">
        <f>384+24.5</f>
        <v>408.5</v>
      </c>
      <c r="M92" s="16">
        <f>384+24.5</f>
        <v>408.5</v>
      </c>
      <c r="N92" s="16">
        <v>384</v>
      </c>
      <c r="O92" s="17" t="s">
        <v>139</v>
      </c>
      <c r="P92" s="19" t="s">
        <v>25</v>
      </c>
      <c r="Q92" s="23">
        <v>1540725150</v>
      </c>
    </row>
    <row r="93" spans="1:17" s="12" customFormat="1" ht="129" customHeight="1" x14ac:dyDescent="0.2">
      <c r="A93" s="18" t="s">
        <v>120</v>
      </c>
      <c r="B93" s="19" t="s">
        <v>67</v>
      </c>
      <c r="C93" s="14" t="s">
        <v>18</v>
      </c>
      <c r="D93" s="14" t="s">
        <v>170</v>
      </c>
      <c r="E93" s="22">
        <f t="shared" si="71"/>
        <v>430</v>
      </c>
      <c r="F93" s="16">
        <v>12</v>
      </c>
      <c r="G93" s="16">
        <v>30</v>
      </c>
      <c r="H93" s="16">
        <v>35</v>
      </c>
      <c r="I93" s="16">
        <v>35</v>
      </c>
      <c r="J93" s="16">
        <v>36.4</v>
      </c>
      <c r="K93" s="16">
        <v>47.5</v>
      </c>
      <c r="L93" s="16">
        <f>49.4-11.1</f>
        <v>38.299999999999997</v>
      </c>
      <c r="M93" s="16">
        <v>51.4</v>
      </c>
      <c r="N93" s="16">
        <f>64+80.4</f>
        <v>144.4</v>
      </c>
      <c r="O93" s="17" t="s">
        <v>39</v>
      </c>
      <c r="P93" s="19" t="s">
        <v>66</v>
      </c>
      <c r="Q93" s="23">
        <v>1540725150</v>
      </c>
    </row>
    <row r="94" spans="1:17" s="12" customFormat="1" ht="37.5" customHeight="1" x14ac:dyDescent="0.2">
      <c r="A94" s="55" t="s">
        <v>107</v>
      </c>
      <c r="B94" s="56" t="s">
        <v>101</v>
      </c>
      <c r="C94" s="32" t="s">
        <v>97</v>
      </c>
      <c r="D94" s="55"/>
      <c r="E94" s="35">
        <f>SUM(F94:N94)</f>
        <v>25460.800000000003</v>
      </c>
      <c r="F94" s="35">
        <f>SUM(F95)</f>
        <v>3306.6</v>
      </c>
      <c r="G94" s="35">
        <f t="shared" ref="G94" si="72">SUM(G95)</f>
        <v>2632.4</v>
      </c>
      <c r="H94" s="35">
        <f t="shared" ref="H94" si="73">SUM(H95)</f>
        <v>1894.9</v>
      </c>
      <c r="I94" s="35">
        <f t="shared" ref="I94" si="74">SUM(I95)</f>
        <v>2599.6999999999998</v>
      </c>
      <c r="J94" s="35">
        <f t="shared" ref="J94" si="75">SUM(J95)</f>
        <v>2907.9</v>
      </c>
      <c r="K94" s="35">
        <f t="shared" ref="K94" si="76">SUM(K95)</f>
        <v>2917.4</v>
      </c>
      <c r="L94" s="35">
        <f t="shared" ref="L94" si="77">SUM(L95)</f>
        <v>1757.9</v>
      </c>
      <c r="M94" s="35">
        <f t="shared" ref="M94:N94" si="78">SUM(M95)</f>
        <v>3107.9</v>
      </c>
      <c r="N94" s="35">
        <f t="shared" si="78"/>
        <v>4336.1000000000004</v>
      </c>
      <c r="O94" s="55"/>
      <c r="P94" s="56"/>
      <c r="Q94" s="23"/>
    </row>
    <row r="95" spans="1:17" s="12" customFormat="1" ht="34.5" customHeight="1" x14ac:dyDescent="0.2">
      <c r="A95" s="55"/>
      <c r="B95" s="56"/>
      <c r="C95" s="32" t="s">
        <v>18</v>
      </c>
      <c r="D95" s="55"/>
      <c r="E95" s="35">
        <f>SUM(F95:N95)</f>
        <v>25460.800000000003</v>
      </c>
      <c r="F95" s="36">
        <f>SUM(F96:F99)</f>
        <v>3306.6</v>
      </c>
      <c r="G95" s="36">
        <f t="shared" ref="G95:N95" si="79">SUM(G96:G99)</f>
        <v>2632.4</v>
      </c>
      <c r="H95" s="36">
        <f t="shared" si="79"/>
        <v>1894.9</v>
      </c>
      <c r="I95" s="36">
        <f t="shared" si="79"/>
        <v>2599.6999999999998</v>
      </c>
      <c r="J95" s="36">
        <f t="shared" si="79"/>
        <v>2907.9</v>
      </c>
      <c r="K95" s="36">
        <f t="shared" si="79"/>
        <v>2917.4</v>
      </c>
      <c r="L95" s="36">
        <f t="shared" si="79"/>
        <v>1757.9</v>
      </c>
      <c r="M95" s="36">
        <f t="shared" ref="M95" si="80">SUM(M96:M99)</f>
        <v>3107.9</v>
      </c>
      <c r="N95" s="36">
        <f t="shared" si="79"/>
        <v>4336.1000000000004</v>
      </c>
      <c r="O95" s="55"/>
      <c r="P95" s="56"/>
      <c r="Q95" s="23"/>
    </row>
    <row r="96" spans="1:17" ht="48" x14ac:dyDescent="0.2">
      <c r="A96" s="14" t="s">
        <v>108</v>
      </c>
      <c r="B96" s="19" t="s">
        <v>26</v>
      </c>
      <c r="C96" s="14" t="s">
        <v>18</v>
      </c>
      <c r="D96" s="14" t="s">
        <v>177</v>
      </c>
      <c r="E96" s="22">
        <f>SUM(F96:N96)</f>
        <v>615.1</v>
      </c>
      <c r="F96" s="16">
        <v>335.6</v>
      </c>
      <c r="G96" s="16">
        <f>262.5+50-33</f>
        <v>279.5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7" t="s">
        <v>39</v>
      </c>
      <c r="P96" s="19" t="s">
        <v>59</v>
      </c>
      <c r="Q96" s="13"/>
    </row>
    <row r="97" spans="1:17" ht="48" x14ac:dyDescent="0.2">
      <c r="A97" s="14" t="s">
        <v>121</v>
      </c>
      <c r="B97" s="19" t="s">
        <v>27</v>
      </c>
      <c r="C97" s="14" t="s">
        <v>18</v>
      </c>
      <c r="D97" s="14" t="s">
        <v>109</v>
      </c>
      <c r="E97" s="22">
        <f t="shared" ref="E97:E99" si="81">SUM(F97:N97)</f>
        <v>2495.5</v>
      </c>
      <c r="F97" s="16">
        <f>2131-3</f>
        <v>2128</v>
      </c>
      <c r="G97" s="16">
        <v>367.5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7" t="s">
        <v>39</v>
      </c>
      <c r="P97" s="19" t="s">
        <v>59</v>
      </c>
      <c r="Q97" s="13"/>
    </row>
    <row r="98" spans="1:17" s="12" customFormat="1" ht="51.75" customHeight="1" x14ac:dyDescent="0.2">
      <c r="A98" s="14" t="s">
        <v>153</v>
      </c>
      <c r="B98" s="45" t="s">
        <v>31</v>
      </c>
      <c r="C98" s="14" t="s">
        <v>18</v>
      </c>
      <c r="D98" s="14" t="s">
        <v>109</v>
      </c>
      <c r="E98" s="22">
        <f t="shared" si="81"/>
        <v>2828.4</v>
      </c>
      <c r="F98" s="16">
        <f>840+3</f>
        <v>843</v>
      </c>
      <c r="G98" s="16">
        <f>500+1285.4+200</f>
        <v>1985.4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7" t="s">
        <v>39</v>
      </c>
      <c r="P98" s="19" t="s">
        <v>59</v>
      </c>
      <c r="Q98" s="23"/>
    </row>
    <row r="99" spans="1:17" s="12" customFormat="1" ht="52.5" customHeight="1" x14ac:dyDescent="0.2">
      <c r="A99" s="46" t="s">
        <v>154</v>
      </c>
      <c r="B99" s="45" t="s">
        <v>81</v>
      </c>
      <c r="C99" s="14" t="s">
        <v>18</v>
      </c>
      <c r="D99" s="14" t="s">
        <v>173</v>
      </c>
      <c r="E99" s="22">
        <f t="shared" si="81"/>
        <v>19521.8</v>
      </c>
      <c r="F99" s="16">
        <v>0</v>
      </c>
      <c r="G99" s="16">
        <v>0</v>
      </c>
      <c r="H99" s="16">
        <v>1894.9</v>
      </c>
      <c r="I99" s="16">
        <f>1077.1+1622.8-409+402-93.2</f>
        <v>2599.6999999999998</v>
      </c>
      <c r="J99" s="16">
        <f>1120.2+1687.7+100</f>
        <v>2907.9</v>
      </c>
      <c r="K99" s="16">
        <f>1163.9+1753.5</f>
        <v>2917.4</v>
      </c>
      <c r="L99" s="16">
        <f>1500+1534.1-42.1-1234.1</f>
        <v>1757.9</v>
      </c>
      <c r="M99" s="16">
        <f>1575+1610.8+211-288.9</f>
        <v>3107.9</v>
      </c>
      <c r="N99" s="16">
        <f>4610.1-250-24</f>
        <v>4336.1000000000004</v>
      </c>
      <c r="O99" s="17" t="s">
        <v>39</v>
      </c>
      <c r="P99" s="19" t="s">
        <v>59</v>
      </c>
      <c r="Q99" s="23">
        <v>1540825160</v>
      </c>
    </row>
    <row r="100" spans="1:17" s="12" customFormat="1" ht="24" x14ac:dyDescent="0.2">
      <c r="A100" s="77" t="s">
        <v>140</v>
      </c>
      <c r="B100" s="56" t="s">
        <v>104</v>
      </c>
      <c r="C100" s="32" t="s">
        <v>97</v>
      </c>
      <c r="D100" s="55"/>
      <c r="E100" s="35">
        <f t="shared" ref="E100:E113" si="82">SUM(F100:N100)</f>
        <v>178493.5</v>
      </c>
      <c r="F100" s="35">
        <f>SUM(F101)</f>
        <v>18529.900000000001</v>
      </c>
      <c r="G100" s="35">
        <f t="shared" ref="G100" si="83">SUM(G101)</f>
        <v>19728.400000000001</v>
      </c>
      <c r="H100" s="35">
        <f t="shared" ref="H100" si="84">SUM(H101)</f>
        <v>19072.3</v>
      </c>
      <c r="I100" s="35">
        <f t="shared" ref="I100" si="85">SUM(I101)</f>
        <v>21400</v>
      </c>
      <c r="J100" s="35">
        <f t="shared" ref="J100" si="86">SUM(J101)</f>
        <v>15250</v>
      </c>
      <c r="K100" s="35">
        <f t="shared" ref="K100" si="87">SUM(K101)</f>
        <v>16043.3</v>
      </c>
      <c r="L100" s="35">
        <f t="shared" ref="L100" si="88">SUM(L101)</f>
        <v>24279.3</v>
      </c>
      <c r="M100" s="35">
        <f t="shared" ref="M100:N100" si="89">SUM(M101)</f>
        <v>21500</v>
      </c>
      <c r="N100" s="35">
        <f t="shared" si="89"/>
        <v>22690.3</v>
      </c>
      <c r="O100" s="55"/>
      <c r="P100" s="56"/>
      <c r="Q100" s="23"/>
    </row>
    <row r="101" spans="1:17" s="12" customFormat="1" ht="24" x14ac:dyDescent="0.2">
      <c r="A101" s="77"/>
      <c r="B101" s="56"/>
      <c r="C101" s="32" t="s">
        <v>18</v>
      </c>
      <c r="D101" s="55"/>
      <c r="E101" s="35">
        <f>SUM(F101:N101)</f>
        <v>178493.5</v>
      </c>
      <c r="F101" s="36">
        <f>SUM(F102:F103)</f>
        <v>18529.900000000001</v>
      </c>
      <c r="G101" s="36">
        <f t="shared" ref="G101:L101" si="90">SUM(G102:G103)</f>
        <v>19728.400000000001</v>
      </c>
      <c r="H101" s="36">
        <f t="shared" si="90"/>
        <v>19072.3</v>
      </c>
      <c r="I101" s="36">
        <f t="shared" si="90"/>
        <v>21400</v>
      </c>
      <c r="J101" s="36">
        <f t="shared" si="90"/>
        <v>15250</v>
      </c>
      <c r="K101" s="36">
        <f t="shared" si="90"/>
        <v>16043.3</v>
      </c>
      <c r="L101" s="36">
        <f t="shared" si="90"/>
        <v>24279.3</v>
      </c>
      <c r="M101" s="36">
        <f t="shared" ref="M101" si="91">SUM(M102:M103)</f>
        <v>21500</v>
      </c>
      <c r="N101" s="36">
        <f>SUM(N102:N105)</f>
        <v>22690.3</v>
      </c>
      <c r="O101" s="55"/>
      <c r="P101" s="56"/>
      <c r="Q101" s="23"/>
    </row>
    <row r="102" spans="1:17" ht="102" customHeight="1" x14ac:dyDescent="0.2">
      <c r="A102" s="14" t="s">
        <v>141</v>
      </c>
      <c r="B102" s="17" t="s">
        <v>60</v>
      </c>
      <c r="C102" s="14" t="s">
        <v>19</v>
      </c>
      <c r="D102" s="14" t="s">
        <v>174</v>
      </c>
      <c r="E102" s="15">
        <f>SUM(F102:N102)</f>
        <v>53504.1</v>
      </c>
      <c r="F102" s="20">
        <v>5970</v>
      </c>
      <c r="G102" s="20">
        <v>6368.5</v>
      </c>
      <c r="H102" s="20">
        <v>7072.3</v>
      </c>
      <c r="I102" s="20">
        <f>6911+589+600</f>
        <v>8100</v>
      </c>
      <c r="J102" s="20">
        <f>7800-3550</f>
        <v>4250</v>
      </c>
      <c r="K102" s="20">
        <f>7100-314-842.7-1900</f>
        <v>4043.3</v>
      </c>
      <c r="L102" s="20">
        <f>7455</f>
        <v>7455</v>
      </c>
      <c r="M102" s="20">
        <f>6000+1500</f>
        <v>7500</v>
      </c>
      <c r="N102" s="20">
        <f>7000-4255</f>
        <v>2745</v>
      </c>
      <c r="O102" s="17" t="s">
        <v>39</v>
      </c>
      <c r="P102" s="17" t="s">
        <v>105</v>
      </c>
      <c r="Q102" s="23">
        <v>1540925170</v>
      </c>
    </row>
    <row r="103" spans="1:17" ht="103.5" customHeight="1" x14ac:dyDescent="0.2">
      <c r="A103" s="14" t="s">
        <v>155</v>
      </c>
      <c r="B103" s="17" t="s">
        <v>41</v>
      </c>
      <c r="C103" s="14" t="s">
        <v>19</v>
      </c>
      <c r="D103" s="14" t="s">
        <v>174</v>
      </c>
      <c r="E103" s="15">
        <f>SUM(F103:N103)</f>
        <v>110079.712</v>
      </c>
      <c r="F103" s="20">
        <v>12559.9</v>
      </c>
      <c r="G103" s="20">
        <f>13359.9</f>
        <v>13359.9</v>
      </c>
      <c r="H103" s="20">
        <v>12000</v>
      </c>
      <c r="I103" s="20">
        <f>11000+2300</f>
        <v>13300</v>
      </c>
      <c r="J103" s="20">
        <v>11000</v>
      </c>
      <c r="K103" s="20">
        <v>12000</v>
      </c>
      <c r="L103" s="20">
        <f>12480-65+1892.5+2516.8</f>
        <v>16824.3</v>
      </c>
      <c r="M103" s="20">
        <f>12979.2+1020.8</f>
        <v>14000</v>
      </c>
      <c r="N103" s="20">
        <f>14700-3266-6398.388</f>
        <v>5035.6120000000001</v>
      </c>
      <c r="O103" s="17" t="s">
        <v>39</v>
      </c>
      <c r="P103" s="17" t="s">
        <v>105</v>
      </c>
      <c r="Q103" s="23">
        <v>1540925180</v>
      </c>
    </row>
    <row r="104" spans="1:17" ht="103.5" customHeight="1" x14ac:dyDescent="0.2">
      <c r="A104" s="14" t="s">
        <v>188</v>
      </c>
      <c r="B104" s="17" t="s">
        <v>190</v>
      </c>
      <c r="C104" s="14" t="s">
        <v>19</v>
      </c>
      <c r="D104" s="14">
        <v>2025</v>
      </c>
      <c r="E104" s="15">
        <f>N104</f>
        <v>12398.387999999999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f>6000+6398.388</f>
        <v>12398.387999999999</v>
      </c>
      <c r="O104" s="50" t="s">
        <v>187</v>
      </c>
      <c r="P104" s="17" t="s">
        <v>185</v>
      </c>
      <c r="Q104" s="23">
        <v>1541225210</v>
      </c>
    </row>
    <row r="105" spans="1:17" ht="103.5" customHeight="1" x14ac:dyDescent="0.2">
      <c r="A105" s="14" t="s">
        <v>189</v>
      </c>
      <c r="B105" s="17" t="s">
        <v>191</v>
      </c>
      <c r="C105" s="14" t="s">
        <v>19</v>
      </c>
      <c r="D105" s="14">
        <v>2025</v>
      </c>
      <c r="E105" s="15">
        <f>N105</f>
        <v>2511.3000000000002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2511.3000000000002</v>
      </c>
      <c r="O105" s="50" t="s">
        <v>187</v>
      </c>
      <c r="P105" s="17" t="s">
        <v>105</v>
      </c>
      <c r="Q105" s="23">
        <v>1541225210</v>
      </c>
    </row>
    <row r="106" spans="1:17" ht="24.75" customHeight="1" x14ac:dyDescent="0.2">
      <c r="A106" s="55" t="s">
        <v>156</v>
      </c>
      <c r="B106" s="56" t="s">
        <v>142</v>
      </c>
      <c r="C106" s="32" t="s">
        <v>97</v>
      </c>
      <c r="D106" s="55"/>
      <c r="E106" s="33">
        <f t="shared" si="82"/>
        <v>189368.9</v>
      </c>
      <c r="F106" s="33">
        <f>F107</f>
        <v>0</v>
      </c>
      <c r="G106" s="33">
        <f t="shared" ref="G106:N106" si="92">G107</f>
        <v>0</v>
      </c>
      <c r="H106" s="33">
        <f t="shared" si="92"/>
        <v>0</v>
      </c>
      <c r="I106" s="33">
        <f t="shared" si="92"/>
        <v>0</v>
      </c>
      <c r="J106" s="33">
        <f t="shared" si="92"/>
        <v>0</v>
      </c>
      <c r="K106" s="33">
        <f t="shared" si="92"/>
        <v>0</v>
      </c>
      <c r="L106" s="33">
        <f t="shared" si="92"/>
        <v>56896</v>
      </c>
      <c r="M106" s="33">
        <f t="shared" si="92"/>
        <v>62603.9</v>
      </c>
      <c r="N106" s="33">
        <f t="shared" si="92"/>
        <v>69869</v>
      </c>
      <c r="O106" s="75"/>
      <c r="P106" s="75"/>
      <c r="Q106" s="13"/>
    </row>
    <row r="107" spans="1:17" ht="24" customHeight="1" x14ac:dyDescent="0.2">
      <c r="A107" s="55"/>
      <c r="B107" s="56"/>
      <c r="C107" s="32" t="s">
        <v>18</v>
      </c>
      <c r="D107" s="55"/>
      <c r="E107" s="33">
        <f t="shared" si="82"/>
        <v>189368.9</v>
      </c>
      <c r="F107" s="34">
        <f>F108</f>
        <v>0</v>
      </c>
      <c r="G107" s="34">
        <f t="shared" ref="G107:N107" si="93">G108</f>
        <v>0</v>
      </c>
      <c r="H107" s="34">
        <f t="shared" si="93"/>
        <v>0</v>
      </c>
      <c r="I107" s="34">
        <f t="shared" si="93"/>
        <v>0</v>
      </c>
      <c r="J107" s="34">
        <f t="shared" si="93"/>
        <v>0</v>
      </c>
      <c r="K107" s="34">
        <f t="shared" si="93"/>
        <v>0</v>
      </c>
      <c r="L107" s="34">
        <f t="shared" si="93"/>
        <v>56896</v>
      </c>
      <c r="M107" s="34">
        <f t="shared" si="93"/>
        <v>62603.9</v>
      </c>
      <c r="N107" s="34">
        <f t="shared" si="93"/>
        <v>69869</v>
      </c>
      <c r="O107" s="76"/>
      <c r="P107" s="76"/>
      <c r="Q107" s="13"/>
    </row>
    <row r="108" spans="1:17" ht="104.25" customHeight="1" x14ac:dyDescent="0.2">
      <c r="A108" s="14" t="s">
        <v>157</v>
      </c>
      <c r="B108" s="17" t="s">
        <v>143</v>
      </c>
      <c r="C108" s="14" t="s">
        <v>19</v>
      </c>
      <c r="D108" s="14" t="s">
        <v>163</v>
      </c>
      <c r="E108" s="15">
        <f>SUM(F108:N108)</f>
        <v>189368.9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f>58023.2-572.2-175-150-230</f>
        <v>56896</v>
      </c>
      <c r="M108" s="20">
        <f>63623.9-1020</f>
        <v>62603.9</v>
      </c>
      <c r="N108" s="20">
        <f>68533.3+2000-747.1+432.8-350</f>
        <v>69869</v>
      </c>
      <c r="O108" s="17" t="s">
        <v>39</v>
      </c>
      <c r="P108" s="17" t="s">
        <v>185</v>
      </c>
      <c r="Q108" s="23">
        <v>1541010230</v>
      </c>
    </row>
    <row r="109" spans="1:17" ht="24.75" customHeight="1" x14ac:dyDescent="0.2">
      <c r="A109" s="79">
        <v>12</v>
      </c>
      <c r="B109" s="75" t="s">
        <v>162</v>
      </c>
      <c r="C109" s="32" t="s">
        <v>97</v>
      </c>
      <c r="D109" s="79"/>
      <c r="E109" s="33">
        <f>E110</f>
        <v>8700</v>
      </c>
      <c r="F109" s="33">
        <v>0</v>
      </c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33">
        <f>N110</f>
        <v>8700</v>
      </c>
      <c r="O109" s="75"/>
      <c r="P109" s="75"/>
      <c r="Q109" s="13"/>
    </row>
    <row r="110" spans="1:17" ht="25.5" customHeight="1" x14ac:dyDescent="0.2">
      <c r="A110" s="80"/>
      <c r="B110" s="81"/>
      <c r="C110" s="32" t="s">
        <v>18</v>
      </c>
      <c r="D110" s="80"/>
      <c r="E110" s="33">
        <f>E111+E112</f>
        <v>8700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f>N111+N112</f>
        <v>8700</v>
      </c>
      <c r="O110" s="76"/>
      <c r="P110" s="76"/>
      <c r="Q110" s="13"/>
    </row>
    <row r="111" spans="1:17" ht="103.5" customHeight="1" x14ac:dyDescent="0.2">
      <c r="A111" s="18" t="s">
        <v>164</v>
      </c>
      <c r="B111" s="17" t="s">
        <v>165</v>
      </c>
      <c r="C111" s="14" t="s">
        <v>19</v>
      </c>
      <c r="D111" s="14">
        <v>2025</v>
      </c>
      <c r="E111" s="15">
        <f>N111</f>
        <v>8027.9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f>6827.9+1200</f>
        <v>8027.9</v>
      </c>
      <c r="O111" s="14" t="s">
        <v>166</v>
      </c>
      <c r="P111" s="17" t="s">
        <v>185</v>
      </c>
      <c r="Q111" s="23">
        <v>1541125190</v>
      </c>
    </row>
    <row r="112" spans="1:17" ht="55.5" customHeight="1" x14ac:dyDescent="0.2">
      <c r="A112" s="14" t="s">
        <v>167</v>
      </c>
      <c r="B112" s="17" t="s">
        <v>168</v>
      </c>
      <c r="C112" s="14" t="s">
        <v>19</v>
      </c>
      <c r="D112" s="14">
        <v>2025</v>
      </c>
      <c r="E112" s="15">
        <f>N112</f>
        <v>672.1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672.1</v>
      </c>
      <c r="O112" s="14" t="s">
        <v>166</v>
      </c>
      <c r="P112" s="17" t="s">
        <v>169</v>
      </c>
      <c r="Q112" s="23">
        <v>1541125190</v>
      </c>
    </row>
    <row r="113" spans="1:17" ht="24" x14ac:dyDescent="0.2">
      <c r="A113" s="37"/>
      <c r="B113" s="38" t="s">
        <v>125</v>
      </c>
      <c r="C113" s="37"/>
      <c r="D113" s="37"/>
      <c r="E113" s="24">
        <f t="shared" si="82"/>
        <v>1848451.8700999999</v>
      </c>
      <c r="F113" s="24">
        <f>SUM(F114:F116)</f>
        <v>127932.09999999998</v>
      </c>
      <c r="G113" s="24">
        <f t="shared" ref="G113:N113" si="94">SUM(G114:G116)</f>
        <v>161579.70000000001</v>
      </c>
      <c r="H113" s="24">
        <f t="shared" si="94"/>
        <v>184715.8</v>
      </c>
      <c r="I113" s="24">
        <f t="shared" si="94"/>
        <v>164674.40000000002</v>
      </c>
      <c r="J113" s="24">
        <f t="shared" si="94"/>
        <v>149760.5</v>
      </c>
      <c r="K113" s="24">
        <f t="shared" si="94"/>
        <v>152658.70000000001</v>
      </c>
      <c r="L113" s="24">
        <f t="shared" si="94"/>
        <v>254240.1</v>
      </c>
      <c r="M113" s="24">
        <f t="shared" ref="M113" si="95">SUM(M114:M116)</f>
        <v>298802.5</v>
      </c>
      <c r="N113" s="24">
        <f t="shared" si="94"/>
        <v>354088.07010000001</v>
      </c>
      <c r="O113" s="37"/>
      <c r="P113" s="38"/>
      <c r="Q113" s="13"/>
    </row>
    <row r="114" spans="1:17" x14ac:dyDescent="0.2">
      <c r="A114" s="37"/>
      <c r="B114" s="38" t="s">
        <v>19</v>
      </c>
      <c r="C114" s="37"/>
      <c r="D114" s="37"/>
      <c r="E114" s="24">
        <f>SUM(F114:N114)</f>
        <v>1663110.2700999998</v>
      </c>
      <c r="F114" s="24">
        <f>F40+F49+F65+F77+F82+F89+F95+F101</f>
        <v>114925.79999999999</v>
      </c>
      <c r="G114" s="24">
        <f t="shared" ref="G114:K114" si="96">G40+G49+G65+G77+G82+G89+G95+G101</f>
        <v>142691.70000000001</v>
      </c>
      <c r="H114" s="24">
        <f t="shared" si="96"/>
        <v>155436.69999999998</v>
      </c>
      <c r="I114" s="24">
        <f t="shared" si="96"/>
        <v>137921.20000000001</v>
      </c>
      <c r="J114" s="24">
        <f t="shared" si="96"/>
        <v>123346.2</v>
      </c>
      <c r="K114" s="24">
        <f t="shared" si="96"/>
        <v>134994.6</v>
      </c>
      <c r="L114" s="24">
        <f>L40+L49+L65+L77+L82+L89+L95+L101+L107</f>
        <v>240088.9</v>
      </c>
      <c r="M114" s="24">
        <f>M40+M49+M65+M77+M82+M89+M95+M101+M107</f>
        <v>284741.3</v>
      </c>
      <c r="N114" s="24">
        <f>N40+N49+N65+N77+N82+N89+N95+N101+N107+N110</f>
        <v>328963.8701</v>
      </c>
      <c r="O114" s="37"/>
      <c r="P114" s="38"/>
      <c r="Q114" s="13"/>
    </row>
    <row r="115" spans="1:17" ht="24" x14ac:dyDescent="0.2">
      <c r="A115" s="37"/>
      <c r="B115" s="38" t="s">
        <v>65</v>
      </c>
      <c r="C115" s="37"/>
      <c r="D115" s="37"/>
      <c r="E115" s="24">
        <f t="shared" ref="E115:E116" si="97">SUM(F115:N115)</f>
        <v>48218.5</v>
      </c>
      <c r="F115" s="24">
        <f t="shared" ref="F115:N115" si="98">F64</f>
        <v>12263.4</v>
      </c>
      <c r="G115" s="24">
        <f t="shared" si="98"/>
        <v>14955.1</v>
      </c>
      <c r="H115" s="24">
        <f t="shared" si="98"/>
        <v>21000</v>
      </c>
      <c r="I115" s="24">
        <f t="shared" si="98"/>
        <v>0</v>
      </c>
      <c r="J115" s="24">
        <f t="shared" si="98"/>
        <v>0</v>
      </c>
      <c r="K115" s="24">
        <f t="shared" si="98"/>
        <v>0</v>
      </c>
      <c r="L115" s="24">
        <f t="shared" si="98"/>
        <v>0</v>
      </c>
      <c r="M115" s="24">
        <f t="shared" si="98"/>
        <v>0</v>
      </c>
      <c r="N115" s="24">
        <f t="shared" si="98"/>
        <v>0</v>
      </c>
      <c r="O115" s="37"/>
      <c r="P115" s="38"/>
      <c r="Q115" s="13"/>
    </row>
    <row r="116" spans="1:17" ht="24" x14ac:dyDescent="0.2">
      <c r="A116" s="37"/>
      <c r="B116" s="38" t="s">
        <v>106</v>
      </c>
      <c r="C116" s="37"/>
      <c r="D116" s="37"/>
      <c r="E116" s="24">
        <f t="shared" si="97"/>
        <v>137123.1</v>
      </c>
      <c r="F116" s="24">
        <f t="shared" ref="F116:N116" si="99">F39+F48+F63</f>
        <v>742.9</v>
      </c>
      <c r="G116" s="24">
        <f t="shared" si="99"/>
        <v>3932.9</v>
      </c>
      <c r="H116" s="24">
        <f t="shared" si="99"/>
        <v>8279.1</v>
      </c>
      <c r="I116" s="24">
        <f t="shared" si="99"/>
        <v>26753.200000000001</v>
      </c>
      <c r="J116" s="24">
        <f t="shared" si="99"/>
        <v>26414.3</v>
      </c>
      <c r="K116" s="24">
        <f t="shared" si="99"/>
        <v>17664.099999999999</v>
      </c>
      <c r="L116" s="24">
        <f t="shared" si="99"/>
        <v>14151.2</v>
      </c>
      <c r="M116" s="24">
        <f t="shared" si="99"/>
        <v>14061.2</v>
      </c>
      <c r="N116" s="24">
        <f t="shared" si="99"/>
        <v>25124.2</v>
      </c>
      <c r="O116" s="24"/>
      <c r="P116" s="38"/>
      <c r="Q116" s="13"/>
    </row>
    <row r="117" spans="1:17" x14ac:dyDescent="0.2">
      <c r="A117" s="25"/>
      <c r="B117" s="26" t="s">
        <v>38</v>
      </c>
      <c r="C117" s="47"/>
      <c r="D117" s="47"/>
      <c r="E117" s="27">
        <f>SUM(E118:E121)</f>
        <v>1981045.5701000001</v>
      </c>
      <c r="F117" s="27">
        <f>SUM(F118:F121)</f>
        <v>127932.09999999998</v>
      </c>
      <c r="G117" s="27">
        <f t="shared" ref="G117:N117" si="100">SUM(G118:G121)</f>
        <v>177579.7</v>
      </c>
      <c r="H117" s="27">
        <f t="shared" si="100"/>
        <v>216315.8</v>
      </c>
      <c r="I117" s="27">
        <f t="shared" si="100"/>
        <v>207474.40000000002</v>
      </c>
      <c r="J117" s="27">
        <f t="shared" si="100"/>
        <v>165650</v>
      </c>
      <c r="K117" s="27">
        <f t="shared" si="100"/>
        <v>170759</v>
      </c>
      <c r="L117" s="27">
        <f t="shared" si="100"/>
        <v>256457.69999999998</v>
      </c>
      <c r="M117" s="27">
        <f t="shared" ref="M117" si="101">SUM(M118:M121)</f>
        <v>303289.7</v>
      </c>
      <c r="N117" s="27">
        <f t="shared" si="100"/>
        <v>355587.17010000005</v>
      </c>
      <c r="O117" s="53"/>
      <c r="P117" s="53"/>
    </row>
    <row r="118" spans="1:17" x14ac:dyDescent="0.2">
      <c r="A118" s="25"/>
      <c r="B118" s="48" t="s">
        <v>19</v>
      </c>
      <c r="C118" s="25"/>
      <c r="D118" s="25"/>
      <c r="E118" s="27">
        <f>SUM(F118:N118)</f>
        <v>1673341.9701</v>
      </c>
      <c r="F118" s="27">
        <f t="shared" ref="F118:M118" si="102">F36+F114</f>
        <v>114925.79999999999</v>
      </c>
      <c r="G118" s="27">
        <f t="shared" si="102"/>
        <v>143691.70000000001</v>
      </c>
      <c r="H118" s="27">
        <f t="shared" si="102"/>
        <v>157036.69999999998</v>
      </c>
      <c r="I118" s="27">
        <f t="shared" si="102"/>
        <v>141774.20000000001</v>
      </c>
      <c r="J118" s="27">
        <f t="shared" si="102"/>
        <v>124776.5</v>
      </c>
      <c r="K118" s="27">
        <f t="shared" si="102"/>
        <v>136698.30000000002</v>
      </c>
      <c r="L118" s="27">
        <f t="shared" si="102"/>
        <v>240268.79999999999</v>
      </c>
      <c r="M118" s="27">
        <f t="shared" si="102"/>
        <v>285101.2</v>
      </c>
      <c r="N118" s="27">
        <f>N36+N114</f>
        <v>329068.77010000002</v>
      </c>
      <c r="O118" s="53"/>
      <c r="P118" s="53"/>
    </row>
    <row r="119" spans="1:17" x14ac:dyDescent="0.2">
      <c r="A119" s="25"/>
      <c r="B119" s="48" t="s">
        <v>88</v>
      </c>
      <c r="C119" s="25"/>
      <c r="D119" s="25"/>
      <c r="E119" s="27">
        <f t="shared" ref="E119:E120" si="103">SUM(F119:N119)</f>
        <v>36127.599999999999</v>
      </c>
      <c r="F119" s="27">
        <f t="shared" ref="F119:N119" si="104">F34</f>
        <v>0</v>
      </c>
      <c r="G119" s="27">
        <f t="shared" si="104"/>
        <v>3495</v>
      </c>
      <c r="H119" s="27">
        <f t="shared" si="104"/>
        <v>10560</v>
      </c>
      <c r="I119" s="27">
        <f t="shared" si="104"/>
        <v>12852.5</v>
      </c>
      <c r="J119" s="27">
        <f t="shared" si="104"/>
        <v>4071.6</v>
      </c>
      <c r="K119" s="27">
        <f t="shared" si="104"/>
        <v>5148.5</v>
      </c>
      <c r="L119" s="27">
        <f t="shared" si="104"/>
        <v>0</v>
      </c>
      <c r="M119" s="27">
        <f t="shared" si="104"/>
        <v>0</v>
      </c>
      <c r="N119" s="27">
        <f t="shared" si="104"/>
        <v>0</v>
      </c>
      <c r="O119" s="53"/>
      <c r="P119" s="53"/>
    </row>
    <row r="120" spans="1:17" ht="24" x14ac:dyDescent="0.2">
      <c r="A120" s="25"/>
      <c r="B120" s="26" t="s">
        <v>65</v>
      </c>
      <c r="C120" s="25"/>
      <c r="D120" s="25"/>
      <c r="E120" s="27">
        <f t="shared" si="103"/>
        <v>48218.5</v>
      </c>
      <c r="F120" s="27">
        <f>F115</f>
        <v>12263.4</v>
      </c>
      <c r="G120" s="27">
        <f t="shared" ref="G120:N120" si="105">G115</f>
        <v>14955.1</v>
      </c>
      <c r="H120" s="27">
        <f t="shared" si="105"/>
        <v>21000</v>
      </c>
      <c r="I120" s="27">
        <f t="shared" si="105"/>
        <v>0</v>
      </c>
      <c r="J120" s="27">
        <f t="shared" si="105"/>
        <v>0</v>
      </c>
      <c r="K120" s="27">
        <f t="shared" si="105"/>
        <v>0</v>
      </c>
      <c r="L120" s="27">
        <f t="shared" si="105"/>
        <v>0</v>
      </c>
      <c r="M120" s="27">
        <f t="shared" ref="M120" si="106">M115</f>
        <v>0</v>
      </c>
      <c r="N120" s="27">
        <f t="shared" si="105"/>
        <v>0</v>
      </c>
      <c r="O120" s="53"/>
      <c r="P120" s="53"/>
    </row>
    <row r="121" spans="1:17" ht="24" x14ac:dyDescent="0.2">
      <c r="A121" s="49"/>
      <c r="B121" s="26" t="s">
        <v>106</v>
      </c>
      <c r="C121" s="49"/>
      <c r="D121" s="49"/>
      <c r="E121" s="27">
        <f>SUM(F121:N121)</f>
        <v>223357.5</v>
      </c>
      <c r="F121" s="27">
        <f t="shared" ref="F121:N121" si="107">F35+F116</f>
        <v>742.9</v>
      </c>
      <c r="G121" s="27">
        <f t="shared" si="107"/>
        <v>15437.9</v>
      </c>
      <c r="H121" s="27">
        <f t="shared" si="107"/>
        <v>27719.1</v>
      </c>
      <c r="I121" s="27">
        <f t="shared" si="107"/>
        <v>52847.7</v>
      </c>
      <c r="J121" s="27">
        <f t="shared" si="107"/>
        <v>36801.9</v>
      </c>
      <c r="K121" s="27">
        <f t="shared" si="107"/>
        <v>28912.199999999997</v>
      </c>
      <c r="L121" s="27">
        <f t="shared" si="107"/>
        <v>16188.900000000001</v>
      </c>
      <c r="M121" s="27">
        <f t="shared" si="107"/>
        <v>18188.5</v>
      </c>
      <c r="N121" s="27">
        <f t="shared" si="107"/>
        <v>26518.400000000001</v>
      </c>
      <c r="O121" s="53"/>
      <c r="P121" s="53"/>
    </row>
    <row r="122" spans="1:17" ht="37.5" customHeight="1" x14ac:dyDescent="0.2"/>
    <row r="123" spans="1:17" ht="76.5" customHeight="1" x14ac:dyDescent="0.2"/>
    <row r="124" spans="1:17" ht="44.25" customHeight="1" x14ac:dyDescent="0.2"/>
    <row r="125" spans="1:17" s="12" customFormat="1" ht="21.75" customHeight="1" x14ac:dyDescent="0.2">
      <c r="A125" s="3"/>
      <c r="B125" s="3"/>
      <c r="C125" s="3"/>
      <c r="D125" s="3"/>
      <c r="E125" s="3"/>
      <c r="F125" s="3"/>
      <c r="G125" s="3"/>
      <c r="H125" s="11"/>
      <c r="I125" s="11"/>
      <c r="J125" s="11"/>
      <c r="K125" s="11"/>
      <c r="L125" s="11"/>
      <c r="M125" s="11"/>
      <c r="N125" s="11"/>
      <c r="O125" s="3"/>
      <c r="P125" s="3"/>
    </row>
    <row r="126" spans="1:17" ht="25.5" customHeight="1" x14ac:dyDescent="0.2"/>
    <row r="127" spans="1:17" ht="33" customHeight="1" x14ac:dyDescent="0.2"/>
    <row r="128" spans="1:17" ht="42.75" customHeight="1" x14ac:dyDescent="0.2"/>
    <row r="129" ht="13.5" customHeight="1" x14ac:dyDescent="0.2"/>
    <row r="130" ht="42.75" customHeight="1" x14ac:dyDescent="0.2"/>
    <row r="131" ht="20.100000000000001" customHeight="1" x14ac:dyDescent="0.2"/>
  </sheetData>
  <mergeCells count="121">
    <mergeCell ref="B71:B73"/>
    <mergeCell ref="D19:D22"/>
    <mergeCell ref="A58:A59"/>
    <mergeCell ref="B58:B59"/>
    <mergeCell ref="O58:O59"/>
    <mergeCell ref="A109:A110"/>
    <mergeCell ref="B109:B110"/>
    <mergeCell ref="D109:D110"/>
    <mergeCell ref="O109:O110"/>
    <mergeCell ref="D88:D89"/>
    <mergeCell ref="D81:D82"/>
    <mergeCell ref="D41:D42"/>
    <mergeCell ref="O23:O26"/>
    <mergeCell ref="D47:D49"/>
    <mergeCell ref="B54:B55"/>
    <mergeCell ref="O62:O65"/>
    <mergeCell ref="O56:O57"/>
    <mergeCell ref="P109:P110"/>
    <mergeCell ref="O106:O107"/>
    <mergeCell ref="P106:P107"/>
    <mergeCell ref="A106:A107"/>
    <mergeCell ref="B106:B107"/>
    <mergeCell ref="D106:D107"/>
    <mergeCell ref="P100:P101"/>
    <mergeCell ref="A94:A95"/>
    <mergeCell ref="B94:B95"/>
    <mergeCell ref="O94:O95"/>
    <mergeCell ref="A100:A101"/>
    <mergeCell ref="B100:B101"/>
    <mergeCell ref="O100:O101"/>
    <mergeCell ref="D94:D95"/>
    <mergeCell ref="D100:D101"/>
    <mergeCell ref="P94:P95"/>
    <mergeCell ref="P23:P26"/>
    <mergeCell ref="A23:A26"/>
    <mergeCell ref="B23:B26"/>
    <mergeCell ref="A45:A46"/>
    <mergeCell ref="B45:B46"/>
    <mergeCell ref="O45:O46"/>
    <mergeCell ref="B19:B22"/>
    <mergeCell ref="P41:P42"/>
    <mergeCell ref="A30:A32"/>
    <mergeCell ref="D30:D32"/>
    <mergeCell ref="D38:D40"/>
    <mergeCell ref="O30:O32"/>
    <mergeCell ref="B27:B29"/>
    <mergeCell ref="A27:A29"/>
    <mergeCell ref="D27:D29"/>
    <mergeCell ref="D23:D26"/>
    <mergeCell ref="O27:O29"/>
    <mergeCell ref="B30:B32"/>
    <mergeCell ref="P30:P32"/>
    <mergeCell ref="P27:P29"/>
    <mergeCell ref="A41:A42"/>
    <mergeCell ref="B41:B42"/>
    <mergeCell ref="O41:O42"/>
    <mergeCell ref="P45:P46"/>
    <mergeCell ref="G1:P1"/>
    <mergeCell ref="A14:P14"/>
    <mergeCell ref="O15:O16"/>
    <mergeCell ref="E15:E16"/>
    <mergeCell ref="D15:D16"/>
    <mergeCell ref="B15:B16"/>
    <mergeCell ref="G2:P2"/>
    <mergeCell ref="A11:P11"/>
    <mergeCell ref="A12:P12"/>
    <mergeCell ref="A13:P13"/>
    <mergeCell ref="F15:N15"/>
    <mergeCell ref="G3:P3"/>
    <mergeCell ref="P15:P16"/>
    <mergeCell ref="C15:C16"/>
    <mergeCell ref="A15:A16"/>
    <mergeCell ref="N5:P8"/>
    <mergeCell ref="A18:P18"/>
    <mergeCell ref="O33:O36"/>
    <mergeCell ref="P33:P36"/>
    <mergeCell ref="O19:O22"/>
    <mergeCell ref="P19:P22"/>
    <mergeCell ref="A19:A22"/>
    <mergeCell ref="R75:V75"/>
    <mergeCell ref="R41:U41"/>
    <mergeCell ref="R43:U43"/>
    <mergeCell ref="A47:A49"/>
    <mergeCell ref="B47:B49"/>
    <mergeCell ref="O47:O49"/>
    <mergeCell ref="P47:P49"/>
    <mergeCell ref="O71:O73"/>
    <mergeCell ref="A62:A65"/>
    <mergeCell ref="B62:B65"/>
    <mergeCell ref="P62:P65"/>
    <mergeCell ref="P58:P59"/>
    <mergeCell ref="D45:D46"/>
    <mergeCell ref="D58:D59"/>
    <mergeCell ref="D62:D65"/>
    <mergeCell ref="D71:D73"/>
    <mergeCell ref="A54:A55"/>
    <mergeCell ref="B56:B57"/>
    <mergeCell ref="O117:O121"/>
    <mergeCell ref="P117:P121"/>
    <mergeCell ref="A37:P37"/>
    <mergeCell ref="A38:A40"/>
    <mergeCell ref="B38:B40"/>
    <mergeCell ref="O38:O40"/>
    <mergeCell ref="P38:P40"/>
    <mergeCell ref="A88:A89"/>
    <mergeCell ref="B88:B89"/>
    <mergeCell ref="O88:O89"/>
    <mergeCell ref="P88:P89"/>
    <mergeCell ref="O54:O55"/>
    <mergeCell ref="P54:P55"/>
    <mergeCell ref="A81:A82"/>
    <mergeCell ref="B81:B82"/>
    <mergeCell ref="P81:P82"/>
    <mergeCell ref="O81:O82"/>
    <mergeCell ref="A76:A77"/>
    <mergeCell ref="P56:P57"/>
    <mergeCell ref="P71:P73"/>
    <mergeCell ref="A71:A73"/>
    <mergeCell ref="B76:B77"/>
    <mergeCell ref="D76:D77"/>
    <mergeCell ref="A56:A57"/>
  </mergeCells>
  <phoneticPr fontId="0" type="noConversion"/>
  <pageMargins left="0.7" right="0.7" top="0.75" bottom="0.75" header="0.3" footer="0.3"/>
  <pageSetup paperSize="9" scale="72" fitToHeight="7" orientation="landscape" r:id="rId1"/>
  <headerFooter alignWithMargins="0"/>
  <rowBreaks count="4" manualBreakCount="4">
    <brk id="55" min="2" max="15" man="1"/>
    <brk id="83" min="2" max="15" man="1"/>
    <brk id="93" max="15" man="1"/>
    <brk id="105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</vt:lpstr>
      <vt:lpstr>Лист3!Заголовки_для_печати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Лещев Олег Витальевич ООП Б-2016 ГМУ</cp:lastModifiedBy>
  <cp:lastPrinted>2025-10-08T06:39:06Z</cp:lastPrinted>
  <dcterms:created xsi:type="dcterms:W3CDTF">1996-10-08T23:32:33Z</dcterms:created>
  <dcterms:modified xsi:type="dcterms:W3CDTF">2025-10-09T12:59:54Z</dcterms:modified>
</cp:coreProperties>
</file>